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75" windowHeight="5895" activeTab="5"/>
  </bookViews>
  <sheets>
    <sheet name="Ν.Α ΑΓΑΜΟΣ" sheetId="1" r:id="rId1"/>
    <sheet name="Ν.Α ΕΓΓ ΜΕ 1Π" sheetId="2" r:id="rId2"/>
    <sheet name="Ν.Α ΕΓΓ ΜΕ 2 Π" sheetId="3" r:id="rId3"/>
    <sheet name="Π.Α ΑΓΑΜ" sheetId="4" r:id="rId4"/>
    <sheet name="Π.Α ΕΓΓ ΜΕ 1 Π" sheetId="5" r:id="rId5"/>
    <sheet name="Π.Α ΕΓΓ ΜΕ 2 Π" sheetId="6" r:id="rId6"/>
  </sheets>
  <definedNames/>
  <calcPr fullCalcOnLoad="1"/>
</workbook>
</file>

<file path=xl/sharedStrings.xml><?xml version="1.0" encoding="utf-8"?>
<sst xmlns="http://schemas.openxmlformats.org/spreadsheetml/2006/main" count="367" uniqueCount="78">
  <si>
    <t>ETH YΠ.</t>
  </si>
  <si>
    <t>1~2</t>
  </si>
  <si>
    <t>3~4</t>
  </si>
  <si>
    <t>5~6</t>
  </si>
  <si>
    <t>7~8</t>
  </si>
  <si>
    <t>17~18</t>
  </si>
  <si>
    <t>19~20</t>
  </si>
  <si>
    <t>21~22</t>
  </si>
  <si>
    <t>ΚΙΝ. ΑΠΟΔ</t>
  </si>
  <si>
    <t>ΜΤΠΥ</t>
  </si>
  <si>
    <t>ΤΕΑΔΥ</t>
  </si>
  <si>
    <t>ΤΠΔΥ</t>
  </si>
  <si>
    <t>ΦΟΡΟΣ</t>
  </si>
  <si>
    <t>ΥΓ.ΠΕ</t>
  </si>
  <si>
    <t>ΟΙΚ ΠΑΡ</t>
  </si>
  <si>
    <t>ΚΥΡ ΣΥΝΤ</t>
  </si>
  <si>
    <t>ΚΑΘ ΑΠΟΔ</t>
  </si>
  <si>
    <t>ΣΥΝ.ΚΑΘ ΑΠΟΔ. ΠΡΟ ΦΟΡΟΥ</t>
  </si>
  <si>
    <t>ΕΠΙΔ ΕΞΩΔ.</t>
  </si>
  <si>
    <t>ΕΠΙΔΟΜΑΔΙΔ/ΚΗΣ ΠΡΟΕΤ.</t>
  </si>
  <si>
    <t>EΡΓ/ΚΕΣ ΕΙΣΦΟΡ.</t>
  </si>
  <si>
    <t>ΚΡΑΤ. ΝΕΟΔ.</t>
  </si>
  <si>
    <t>3-4</t>
  </si>
  <si>
    <t>7-8</t>
  </si>
  <si>
    <t>5-6</t>
  </si>
  <si>
    <t>9-10</t>
  </si>
  <si>
    <t>11-12</t>
  </si>
  <si>
    <t>13-14</t>
  </si>
  <si>
    <t>15-16</t>
  </si>
  <si>
    <t>17-18</t>
  </si>
  <si>
    <t>Γ</t>
  </si>
  <si>
    <t>Β</t>
  </si>
  <si>
    <t>ΣΤ</t>
  </si>
  <si>
    <t>Ε</t>
  </si>
  <si>
    <t>Δ</t>
  </si>
  <si>
    <t>25-26</t>
  </si>
  <si>
    <t>27-28</t>
  </si>
  <si>
    <t>31-32</t>
  </si>
  <si>
    <t>33-35</t>
  </si>
  <si>
    <t>ΒΑΘΜΟΣ</t>
  </si>
  <si>
    <t>9~10</t>
  </si>
  <si>
    <t>11~12</t>
  </si>
  <si>
    <t>13~14</t>
  </si>
  <si>
    <t>15~16</t>
  </si>
  <si>
    <t>ΚΡΑΤ. ΝΕΟΔ</t>
  </si>
  <si>
    <t>19-20</t>
  </si>
  <si>
    <t>ΕΓΓΑΜΟΣ ΜΕ 1 ΠΑΙΔΙ ΠΟΥ ΤΟΝ ΒΑΡΥΝΕΙ ΦΟΡΟΛΟΓΙΚΑ</t>
  </si>
  <si>
    <t>ΕΓΓΑΜΟΣ ΜΕ 2 ΠΑΙΔΙΑ ΠΟΥ ΤΟΝ ΒΑΡΥΝΟΥΝ ΦΟΡΟΛΟΓΙΚΑ</t>
  </si>
  <si>
    <t>ΕΙΔΙΚΗ ΕΙΣΦΟΡΑ ΑΛΛΗΛΕΓΓ</t>
  </si>
  <si>
    <t>ΚΡΑΤΗΣΕΙΣ</t>
  </si>
  <si>
    <t>Διευκρίνιση: Από την έναρξη ισχύος του νόμου για το νέο μισθολόγιο, οι αναλογούσες ασφαλιστικές εισφορές για κύρια σύνταξη, επικουρική ασφάλιση,</t>
  </si>
  <si>
    <t>Μπαλάγκας Γιάννης</t>
  </si>
  <si>
    <t xml:space="preserve">   (ΑΓΑΜΟΣ )</t>
  </si>
  <si>
    <t>ΠΑΛΙΟΣ ΒΑΣΙΚΟΣ ΜΙΣΘΟΣ</t>
  </si>
  <si>
    <t>ΒΑΣΙΚΟΣ   ΜΙΣΘΟΣ ΝΕΟΥ ΜΙΣΘΟΛ</t>
  </si>
  <si>
    <t>(ΑΓΑΜΟΣ)</t>
  </si>
  <si>
    <t>λαμβανομένων υπόψη των διατάξεων της παρ.5 του άρθρου 38 του ν.3986/2011, περί αναστολής των μισθολογικών ωριμάνσεων από 1-7-2011</t>
  </si>
  <si>
    <t>Από τη στιγμή που η σύνταξη των εξερχομένων της υπηρεσίας μέχρι 31-12-2015 υπολογίζεται με βάση τις συντάξιμες αποδοχές, όπως έχουν σήμερα,</t>
  </si>
  <si>
    <t xml:space="preserve">(άρθρο 1 παρ. 2α) είναι ορθό και οι κρατήσεις για την κύρια σύνταξη και τα ασφαλιστικά ταμεία να μην υπολογιστούν στις  συντάξιμες αποδοχές του νέου </t>
  </si>
  <si>
    <t>μισθολογίου αλλά του παλιού.</t>
  </si>
  <si>
    <t>Διευκρινίσεις: 1. Από την έναρξη ισχύος του νόμου για το νέο μισθολόγιο, οι αναλογούσες ασφαλιστικές εισφορές για κύρια σύνταξη, επικουρική ασφάλιση,</t>
  </si>
  <si>
    <t xml:space="preserve">    2.    Στα 23,24 έτη υπηρεσίας και στα 29,30 του Β Βαθμού, επειδή τα Μ.Κ χορηγούνται ανά τριετία στο βαθμό αυτό, δεν υπάρχει αντιστοιχία αυτών των </t>
  </si>
  <si>
    <t xml:space="preserve">ετών με τα παλιά Μ.Κ με αποτέλεσμα να έχουμε αυξημένες εισφορές στον ίδιο βαθμό σε κάποια έτη πχ στα 21-22 -23 έτη είναι ο ίδιος βασικός 1906 , ενώ </t>
  </si>
  <si>
    <t>τα παλιά Μ.Κ είναι 1425 για τα 21-22 έτη και 1465 για τα 23 έτη και αυτό έχει σαν συνέπεια οι καθαρές αποδοχές των 23 ετών να είναι κατάτι  λιγότερες</t>
  </si>
  <si>
    <t>ΜΚ</t>
  </si>
  <si>
    <t>2</t>
  </si>
  <si>
    <t>Μ.Κ</t>
  </si>
  <si>
    <t xml:space="preserve">ΜΙΣΘΟΙ ΕΚΠ/ΚΩΝ   ( ΑΣΦΑΛΙΣΜΕΝΟΙ ΑΠΟ 1-1-93 ΚΑΙ ΜΕΤΑ) </t>
  </si>
  <si>
    <t>ΜΙΣΘΟΙ ΕΚΠΑΙΔΕΥΤΙΚΩΝ ( ΑΣΦΑΛΙΣΜΕΝΟΙ ΕΩΣ 31-12-92)</t>
  </si>
  <si>
    <t>ΜΙΣΘΟΙ ΕΚΠΑΙΔΕΥΤΙΚΩΝ ( ΑΣΦΑΛΙΣΜΕΝΟΙ ΕΩΣ 31-12-92))</t>
  </si>
  <si>
    <t xml:space="preserve">πρόνοια και υγειονομική περίθαλψη υπολογίζονται επί των συντάξιμων αποδοχών του παλιού μισθολογίου, σύμφωνα με την παρ.2γ του άρθρου 1    </t>
  </si>
  <si>
    <t>από τα 22. Ίσως η Δ/νση Μισθολογίου να δώσει κάποια λύση σ'  αυτό το θέμα.</t>
  </si>
  <si>
    <t>από τα 22. Ίσως η Δ/νση Μισθολογίου να δώσει κάποια λύση σ' αυτό το θέμα.</t>
  </si>
  <si>
    <t>ειδικός συνεργάτης ΔΟΕ</t>
  </si>
  <si>
    <t xml:space="preserve">                   ΜΙΣΘΟΙ ΕΚΠ/ΚΩΝ   ( ΑΣΦΑΛΙΣΜΕΝΟΙ ΑΠΟ 1-1-93 ΚΑΙ ΜΕΤΑ) </t>
  </si>
  <si>
    <t xml:space="preserve">                 ΜΙΣΘΟΙ ΕΚΠ/ΚΩΝ   ( ΑΣΦΑΛΙΣΜΕΝΟΙ ΑΠΟ 1-1-93 ΚΑΙ ΜΕΤΑ) </t>
  </si>
  <si>
    <t>ΟΙΚ. ΠΑΡ</t>
  </si>
  <si>
    <t>ΕΠΙΔΟΜΑΔΙΔ/ΚΗΣ ΠΡΟΕΤ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</si>
</sst>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&quot;Ναι&quot;;&quot;Ναι&quot;;&quot;Όχι&quot;"/>
    <numFmt numFmtId="174" formatCode="&quot;Αληθές&quot;;&quot;Αληθές&quot;;&quot;Ψευδές&quot;"/>
    <numFmt numFmtId="175" formatCode="&quot;Ενεργό&quot;;&quot;Ενεργό&quot;;&quot;Ανενεργό&quot;"/>
    <numFmt numFmtId="176" formatCode="[$€-2]\ #,##0.00_);[Red]\([$€-2]\ #,##0.00\)"/>
  </numFmts>
  <fonts count="24">
    <font>
      <sz val="10"/>
      <name val="Arial Greek"/>
      <family val="0"/>
    </font>
    <font>
      <b/>
      <sz val="10"/>
      <name val="Arial Greek"/>
      <family val="0"/>
    </font>
    <font>
      <sz val="8"/>
      <name val="Arial Greek"/>
      <family val="0"/>
    </font>
    <font>
      <b/>
      <sz val="9"/>
      <name val="Arial Greek"/>
      <family val="0"/>
    </font>
    <font>
      <sz val="9"/>
      <name val="Arial Greek"/>
      <family val="0"/>
    </font>
    <font>
      <b/>
      <sz val="12"/>
      <name val="Arial Greek"/>
      <family val="0"/>
    </font>
    <font>
      <b/>
      <sz val="8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1" applyNumberFormat="0" applyAlignment="0" applyProtection="0"/>
    <xf numFmtId="0" fontId="10" fillId="16" borderId="2" applyNumberFormat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11" fillId="21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21" borderId="1" applyNumberFormat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2" fontId="0" fillId="0" borderId="0" xfId="0" applyNumberFormat="1" applyAlignment="1">
      <alignment wrapText="1"/>
    </xf>
    <xf numFmtId="0" fontId="0" fillId="0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 wrapText="1"/>
    </xf>
    <xf numFmtId="1" fontId="0" fillId="0" borderId="10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4" fontId="1" fillId="24" borderId="10" xfId="0" applyNumberFormat="1" applyFont="1" applyFill="1" applyBorder="1" applyAlignment="1">
      <alignment horizontal="center"/>
    </xf>
    <xf numFmtId="3" fontId="1" fillId="0" borderId="10" xfId="0" applyNumberFormat="1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ont="1" applyFill="1" applyBorder="1" applyAlignment="1">
      <alignment horizontal="center"/>
    </xf>
    <xf numFmtId="1" fontId="1" fillId="24" borderId="10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3" fontId="1" fillId="24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 wrapText="1"/>
    </xf>
    <xf numFmtId="4" fontId="0" fillId="0" borderId="0" xfId="0" applyNumberForma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2" fontId="0" fillId="0" borderId="0" xfId="0" applyNumberFormat="1" applyAlignment="1">
      <alignment horizontal="left"/>
    </xf>
    <xf numFmtId="0" fontId="3" fillId="0" borderId="10" xfId="0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left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638175</xdr:colOff>
      <xdr:row>0</xdr:row>
      <xdr:rowOff>609600</xdr:rowOff>
    </xdr:to>
    <xdr:pic>
      <xdr:nvPicPr>
        <xdr:cNvPr id="1" name="Εικόνα 1" descr="ΛΟΓΟΤΥΠΟ ΔΟΕ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00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152400</xdr:colOff>
      <xdr:row>2</xdr:row>
      <xdr:rowOff>123825</xdr:rowOff>
    </xdr:to>
    <xdr:pic>
      <xdr:nvPicPr>
        <xdr:cNvPr id="1" name="Εικόνα 2" descr="ΛΟΓΟΤΥΠΟ ΔΟΕ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52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7</xdr:col>
      <xdr:colOff>85725</xdr:colOff>
      <xdr:row>2</xdr:row>
      <xdr:rowOff>161925</xdr:rowOff>
    </xdr:to>
    <xdr:pic>
      <xdr:nvPicPr>
        <xdr:cNvPr id="1" name="Εικόνα 1" descr="ΛΟΓΟΤΥΠΟ ΔΟΕ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27336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19050</xdr:rowOff>
    </xdr:from>
    <xdr:to>
      <xdr:col>9</xdr:col>
      <xdr:colOff>285750</xdr:colOff>
      <xdr:row>1</xdr:row>
      <xdr:rowOff>0</xdr:rowOff>
    </xdr:to>
    <xdr:pic>
      <xdr:nvPicPr>
        <xdr:cNvPr id="1" name="Εικόνα 1" descr="ΛΟΓΟΤΥΠΟ ΔΟΕ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9050"/>
          <a:ext cx="29622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371475</xdr:colOff>
      <xdr:row>3</xdr:row>
      <xdr:rowOff>28575</xdr:rowOff>
    </xdr:to>
    <xdr:pic>
      <xdr:nvPicPr>
        <xdr:cNvPr id="1" name="Εικόνα 14" descr="ΛΟΓΟΤΥΠΟ ΔΟΕ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33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371475</xdr:colOff>
      <xdr:row>4</xdr:row>
      <xdr:rowOff>19050</xdr:rowOff>
    </xdr:to>
    <xdr:pic>
      <xdr:nvPicPr>
        <xdr:cNvPr id="1" name="Εικόνα 2" descr="ΛΟΓΟΤΥΠΟ ΔΟΕ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62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5"/>
  <sheetViews>
    <sheetView zoomScalePageLayoutView="0" workbookViewId="0" topLeftCell="A1">
      <selection activeCell="J1" sqref="J1"/>
    </sheetView>
  </sheetViews>
  <sheetFormatPr defaultColWidth="9.00390625" defaultRowHeight="12.75"/>
  <cols>
    <col min="1" max="1" width="6.375" style="0" customWidth="1"/>
    <col min="2" max="2" width="6.25390625" style="0" customWidth="1"/>
    <col min="3" max="3" width="5.00390625" style="0" customWidth="1"/>
    <col min="4" max="4" width="10.75390625" style="0" customWidth="1"/>
    <col min="5" max="5" width="9.00390625" style="0" customWidth="1"/>
    <col min="6" max="6" width="7.625" style="0" hidden="1" customWidth="1"/>
    <col min="7" max="7" width="7.00390625" style="0" hidden="1" customWidth="1"/>
    <col min="8" max="8" width="6.25390625" style="0" customWidth="1"/>
    <col min="9" max="9" width="9.875" style="0" hidden="1" customWidth="1"/>
    <col min="10" max="10" width="9.625" style="0" customWidth="1"/>
    <col min="11" max="11" width="7.625" style="0" customWidth="1"/>
    <col min="12" max="12" width="8.25390625" style="0" customWidth="1"/>
    <col min="13" max="13" width="7.875" style="0" customWidth="1"/>
    <col min="14" max="14" width="8.25390625" style="0" customWidth="1"/>
    <col min="15" max="15" width="7.75390625" style="0" customWidth="1"/>
    <col min="16" max="16" width="8.875" style="0" customWidth="1"/>
    <col min="17" max="17" width="11.875" style="0" customWidth="1"/>
    <col min="18" max="18" width="13.75390625" style="0" hidden="1" customWidth="1"/>
    <col min="19" max="19" width="8.875" style="0" customWidth="1"/>
    <col min="20" max="20" width="9.25390625" style="0" customWidth="1"/>
  </cols>
  <sheetData>
    <row r="1" ht="50.25" customHeight="1"/>
    <row r="2" spans="1:20" ht="12.75">
      <c r="A2" s="50" t="s">
        <v>67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15"/>
    </row>
    <row r="3" spans="1:20" ht="12.75">
      <c r="A3" s="50" t="s">
        <v>52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15"/>
    </row>
    <row r="4" spans="1:20" ht="12.75">
      <c r="A4" s="1"/>
      <c r="B4" s="1"/>
      <c r="C4" s="1"/>
      <c r="D4" s="1"/>
      <c r="E4" s="1"/>
      <c r="F4" s="1"/>
      <c r="G4" s="1"/>
      <c r="H4" s="1"/>
      <c r="I4" s="1"/>
      <c r="J4" s="1"/>
      <c r="K4" s="52" t="s">
        <v>49</v>
      </c>
      <c r="L4" s="52"/>
      <c r="M4" s="52"/>
      <c r="N4" s="52"/>
      <c r="O4" s="52"/>
      <c r="P4" s="52"/>
      <c r="Q4" s="52"/>
      <c r="R4" s="52"/>
      <c r="S4" s="52"/>
      <c r="T4" s="15"/>
    </row>
    <row r="5" spans="1:20" ht="51">
      <c r="A5" s="10" t="s">
        <v>0</v>
      </c>
      <c r="B5" s="10" t="s">
        <v>39</v>
      </c>
      <c r="C5" s="10" t="s">
        <v>64</v>
      </c>
      <c r="D5" s="10" t="s">
        <v>54</v>
      </c>
      <c r="E5" s="17" t="s">
        <v>53</v>
      </c>
      <c r="F5" s="11" t="s">
        <v>18</v>
      </c>
      <c r="G5" s="13" t="s">
        <v>8</v>
      </c>
      <c r="H5" s="10" t="s">
        <v>14</v>
      </c>
      <c r="I5" s="10" t="s">
        <v>19</v>
      </c>
      <c r="J5" s="11" t="s">
        <v>20</v>
      </c>
      <c r="K5" s="11" t="s">
        <v>15</v>
      </c>
      <c r="L5" s="11" t="s">
        <v>9</v>
      </c>
      <c r="M5" s="11" t="s">
        <v>10</v>
      </c>
      <c r="N5" s="11" t="s">
        <v>11</v>
      </c>
      <c r="O5" s="11" t="s">
        <v>13</v>
      </c>
      <c r="P5" s="11" t="s">
        <v>21</v>
      </c>
      <c r="Q5" s="11" t="s">
        <v>48</v>
      </c>
      <c r="R5" s="11" t="s">
        <v>17</v>
      </c>
      <c r="S5" s="11" t="s">
        <v>12</v>
      </c>
      <c r="T5" s="13" t="s">
        <v>16</v>
      </c>
    </row>
    <row r="6" spans="1:20" ht="18" customHeight="1">
      <c r="A6" s="2">
        <v>1</v>
      </c>
      <c r="B6" s="2" t="s">
        <v>32</v>
      </c>
      <c r="C6" s="2"/>
      <c r="D6" s="37">
        <v>1092</v>
      </c>
      <c r="E6" s="18">
        <v>985</v>
      </c>
      <c r="F6" s="12">
        <v>288.14</v>
      </c>
      <c r="G6" s="14">
        <v>50</v>
      </c>
      <c r="H6" s="6">
        <v>0</v>
      </c>
      <c r="I6" s="6">
        <v>85.01</v>
      </c>
      <c r="J6" s="12">
        <f aca="true" t="shared" si="0" ref="J6:J16">(E6+F6+H6+I6)*3%</f>
        <v>40.744499999999995</v>
      </c>
      <c r="K6" s="8">
        <f aca="true" t="shared" si="1" ref="K6:K16">(E6+F6+H6+I6+140.8)*6.67%</f>
        <v>99.97996499999998</v>
      </c>
      <c r="L6" s="8">
        <f aca="true" t="shared" si="2" ref="L6:L16">(E6+140.8)*4%+(F6+G6+H6+I6)*1%</f>
        <v>49.26349999999999</v>
      </c>
      <c r="M6" s="8">
        <f aca="true" t="shared" si="3" ref="M6:M16">(E6+F6+H6+I6)*3%+J6</f>
        <v>81.48899999999999</v>
      </c>
      <c r="N6" s="8">
        <f aca="true" t="shared" si="4" ref="N6:N16">(E6+F6+H6+I6)*4%+(E6+F6+G6+H6+I6)*1%</f>
        <v>68.4075</v>
      </c>
      <c r="O6" s="8">
        <f aca="true" t="shared" si="5" ref="O6:O16">(E6+F6+H6+I6)*2.55%</f>
        <v>34.632825</v>
      </c>
      <c r="P6" s="8">
        <f>(D6+H6)/12+((D6+H6)/2)/24</f>
        <v>113.75</v>
      </c>
      <c r="Q6" s="8">
        <f>(D6+H6)*2%</f>
        <v>21.84</v>
      </c>
      <c r="R6" s="8">
        <f>(D6+H6+J6-K6-L6-M6-N6-O6-P6-Q6)*12</f>
        <v>7960.580519999999</v>
      </c>
      <c r="S6" s="8">
        <f>((R6-5000)*10%-((R6-5000)*10%)*1.5%)/12</f>
        <v>24.30143176833332</v>
      </c>
      <c r="T6" s="23">
        <f>D6+H6+J6-K6-L6-M6-N6-O6-P6-Q6-S6</f>
        <v>639.0802782316665</v>
      </c>
    </row>
    <row r="7" spans="1:20" ht="18" customHeight="1">
      <c r="A7" s="25" t="s">
        <v>65</v>
      </c>
      <c r="B7" s="2" t="s">
        <v>32</v>
      </c>
      <c r="C7" s="2"/>
      <c r="D7" s="37">
        <v>1092</v>
      </c>
      <c r="E7" s="18">
        <v>1025</v>
      </c>
      <c r="F7" s="12">
        <v>288.14</v>
      </c>
      <c r="G7" s="14">
        <v>50</v>
      </c>
      <c r="H7" s="6">
        <v>0</v>
      </c>
      <c r="I7" s="6">
        <v>85.01</v>
      </c>
      <c r="J7" s="12">
        <f t="shared" si="0"/>
        <v>41.9445</v>
      </c>
      <c r="K7" s="8">
        <f t="shared" si="1"/>
        <v>102.64796499999999</v>
      </c>
      <c r="L7" s="8">
        <f t="shared" si="2"/>
        <v>50.863499999999995</v>
      </c>
      <c r="M7" s="8">
        <f t="shared" si="3"/>
        <v>83.889</v>
      </c>
      <c r="N7" s="8">
        <f t="shared" si="4"/>
        <v>70.4075</v>
      </c>
      <c r="O7" s="8">
        <f t="shared" si="5"/>
        <v>35.65282499999999</v>
      </c>
      <c r="P7" s="8">
        <f>(D7/2)/24</f>
        <v>22.75</v>
      </c>
      <c r="Q7" s="8">
        <f aca="true" t="shared" si="6" ref="Q7:Q16">(D7+H7)*2%</f>
        <v>21.84</v>
      </c>
      <c r="R7" s="8">
        <f aca="true" t="shared" si="7" ref="R7:R16">(D7+H7+J7-K7-L7-M7-N7-O7-P7-Q7)*12</f>
        <v>8950.72452</v>
      </c>
      <c r="S7" s="8">
        <f>((R7-5000)*10%-((R7-5000)*10%)*1.5%)/12</f>
        <v>32.428863768333336</v>
      </c>
      <c r="T7" s="23">
        <f aca="true" t="shared" si="8" ref="T7:T16">D7+H7+J7-K7-L7-M7-N7-O7-P7-Q7-S7</f>
        <v>713.4648462316667</v>
      </c>
    </row>
    <row r="8" spans="1:20" ht="18" customHeight="1">
      <c r="A8" s="25" t="s">
        <v>22</v>
      </c>
      <c r="B8" s="2" t="s">
        <v>33</v>
      </c>
      <c r="C8" s="2"/>
      <c r="D8" s="37">
        <v>1201</v>
      </c>
      <c r="E8" s="18">
        <v>1064</v>
      </c>
      <c r="F8" s="12">
        <v>288.14</v>
      </c>
      <c r="G8" s="14">
        <v>50</v>
      </c>
      <c r="H8" s="6">
        <v>0</v>
      </c>
      <c r="I8" s="6">
        <v>85.01</v>
      </c>
      <c r="J8" s="12">
        <f t="shared" si="0"/>
        <v>43.11449999999999</v>
      </c>
      <c r="K8" s="8">
        <f t="shared" si="1"/>
        <v>105.24926499999998</v>
      </c>
      <c r="L8" s="8">
        <f t="shared" si="2"/>
        <v>52.4235</v>
      </c>
      <c r="M8" s="8">
        <f t="shared" si="3"/>
        <v>86.22899999999998</v>
      </c>
      <c r="N8" s="8">
        <f t="shared" si="4"/>
        <v>72.3575</v>
      </c>
      <c r="O8" s="8">
        <f t="shared" si="5"/>
        <v>36.647324999999995</v>
      </c>
      <c r="P8" s="8"/>
      <c r="Q8" s="8">
        <f t="shared" si="6"/>
        <v>24.02</v>
      </c>
      <c r="R8" s="8">
        <f t="shared" si="7"/>
        <v>10406.25492</v>
      </c>
      <c r="S8" s="8">
        <f>((R8-5000)*10%-((R8-5000)*10%)*1.5%)/12</f>
        <v>44.37634246833333</v>
      </c>
      <c r="T8" s="23">
        <f t="shared" si="8"/>
        <v>822.8115675316666</v>
      </c>
    </row>
    <row r="9" spans="1:20" ht="18" customHeight="1">
      <c r="A9" s="25" t="s">
        <v>24</v>
      </c>
      <c r="B9" s="2" t="s">
        <v>33</v>
      </c>
      <c r="C9" s="2">
        <v>1</v>
      </c>
      <c r="D9" s="37">
        <v>1225</v>
      </c>
      <c r="E9" s="18">
        <v>1104</v>
      </c>
      <c r="F9" s="12">
        <v>288.14</v>
      </c>
      <c r="G9" s="14">
        <v>50</v>
      </c>
      <c r="H9" s="6">
        <v>0</v>
      </c>
      <c r="I9" s="6">
        <v>85.01</v>
      </c>
      <c r="J9" s="12">
        <f t="shared" si="0"/>
        <v>44.314499999999995</v>
      </c>
      <c r="K9" s="8">
        <f t="shared" si="1"/>
        <v>107.91726499999999</v>
      </c>
      <c r="L9" s="8">
        <f t="shared" si="2"/>
        <v>54.0235</v>
      </c>
      <c r="M9" s="8">
        <f t="shared" si="3"/>
        <v>88.62899999999999</v>
      </c>
      <c r="N9" s="8">
        <f t="shared" si="4"/>
        <v>74.3575</v>
      </c>
      <c r="O9" s="8">
        <f t="shared" si="5"/>
        <v>37.66732499999999</v>
      </c>
      <c r="P9" s="8"/>
      <c r="Q9" s="8">
        <f t="shared" si="6"/>
        <v>24.5</v>
      </c>
      <c r="R9" s="8">
        <f t="shared" si="7"/>
        <v>10586.63892</v>
      </c>
      <c r="S9" s="8">
        <f>((R9-5000)*10%-((R9-5000)*10%)*1.5%)/12</f>
        <v>45.85699446833333</v>
      </c>
      <c r="T9" s="23">
        <f t="shared" si="8"/>
        <v>836.3629155316665</v>
      </c>
    </row>
    <row r="10" spans="1:20" ht="18" customHeight="1">
      <c r="A10" s="25" t="s">
        <v>23</v>
      </c>
      <c r="B10" s="2" t="s">
        <v>33</v>
      </c>
      <c r="C10" s="2">
        <v>2</v>
      </c>
      <c r="D10" s="37">
        <v>1250</v>
      </c>
      <c r="E10" s="18">
        <v>1144</v>
      </c>
      <c r="F10" s="12">
        <v>288.14</v>
      </c>
      <c r="G10" s="14">
        <v>50</v>
      </c>
      <c r="H10" s="6">
        <v>0</v>
      </c>
      <c r="I10" s="6">
        <v>85.01</v>
      </c>
      <c r="J10" s="12">
        <f t="shared" si="0"/>
        <v>45.51449999999999</v>
      </c>
      <c r="K10" s="8">
        <f t="shared" si="1"/>
        <v>110.58526499999998</v>
      </c>
      <c r="L10" s="8">
        <f t="shared" si="2"/>
        <v>55.62349999999999</v>
      </c>
      <c r="M10" s="8">
        <f t="shared" si="3"/>
        <v>91.02899999999998</v>
      </c>
      <c r="N10" s="8">
        <f t="shared" si="4"/>
        <v>76.35749999999999</v>
      </c>
      <c r="O10" s="8">
        <f t="shared" si="5"/>
        <v>38.687324999999994</v>
      </c>
      <c r="P10" s="8"/>
      <c r="Q10" s="8">
        <f t="shared" si="6"/>
        <v>25</v>
      </c>
      <c r="R10" s="8">
        <f t="shared" si="7"/>
        <v>10778.782920000001</v>
      </c>
      <c r="S10" s="8">
        <f>((R10-5000)*10%-((R10-5000)*10%)*1.5%)/12</f>
        <v>47.434176468333355</v>
      </c>
      <c r="T10" s="23">
        <f t="shared" si="8"/>
        <v>850.7977335316668</v>
      </c>
    </row>
    <row r="11" spans="1:20" ht="18" customHeight="1">
      <c r="A11" s="25" t="s">
        <v>25</v>
      </c>
      <c r="B11" s="2" t="s">
        <v>34</v>
      </c>
      <c r="C11" s="2"/>
      <c r="D11" s="37">
        <v>1381</v>
      </c>
      <c r="E11" s="18">
        <v>1185</v>
      </c>
      <c r="F11" s="12">
        <v>288.14</v>
      </c>
      <c r="G11" s="14">
        <v>50</v>
      </c>
      <c r="H11" s="6">
        <v>0</v>
      </c>
      <c r="I11" s="6">
        <v>85.01</v>
      </c>
      <c r="J11" s="12">
        <f t="shared" si="0"/>
        <v>46.744499999999995</v>
      </c>
      <c r="K11" s="8">
        <f t="shared" si="1"/>
        <v>113.31996499999998</v>
      </c>
      <c r="L11" s="8">
        <f t="shared" si="2"/>
        <v>57.26349999999999</v>
      </c>
      <c r="M11" s="8">
        <f t="shared" si="3"/>
        <v>93.48899999999999</v>
      </c>
      <c r="N11" s="8">
        <f t="shared" si="4"/>
        <v>78.4075</v>
      </c>
      <c r="O11" s="8">
        <f t="shared" si="5"/>
        <v>39.73282499999999</v>
      </c>
      <c r="P11" s="8"/>
      <c r="Q11" s="8">
        <f t="shared" si="6"/>
        <v>27.62</v>
      </c>
      <c r="R11" s="8">
        <f t="shared" si="7"/>
        <v>12214.94052</v>
      </c>
      <c r="S11" s="8">
        <f aca="true" t="shared" si="9" ref="S11:S16">((R11-12000)*18%+700-((R11-12000)*18%+700)*1.5%)/12</f>
        <v>60.63407951633334</v>
      </c>
      <c r="T11" s="23">
        <f t="shared" si="8"/>
        <v>957.2776304836666</v>
      </c>
    </row>
    <row r="12" spans="1:20" ht="18" customHeight="1">
      <c r="A12" s="25" t="s">
        <v>26</v>
      </c>
      <c r="B12" s="2" t="s">
        <v>34</v>
      </c>
      <c r="C12" s="2">
        <v>1</v>
      </c>
      <c r="D12" s="37">
        <v>1409</v>
      </c>
      <c r="E12" s="18">
        <v>1224</v>
      </c>
      <c r="F12" s="12">
        <v>288.14</v>
      </c>
      <c r="G12" s="14">
        <v>50</v>
      </c>
      <c r="H12" s="6">
        <v>0</v>
      </c>
      <c r="I12" s="6">
        <v>85.01</v>
      </c>
      <c r="J12" s="12">
        <f t="shared" si="0"/>
        <v>47.9145</v>
      </c>
      <c r="K12" s="8">
        <f t="shared" si="1"/>
        <v>115.92126499999998</v>
      </c>
      <c r="L12" s="8">
        <f t="shared" si="2"/>
        <v>58.823499999999996</v>
      </c>
      <c r="M12" s="8">
        <f t="shared" si="3"/>
        <v>95.829</v>
      </c>
      <c r="N12" s="8">
        <f t="shared" si="4"/>
        <v>80.35749999999999</v>
      </c>
      <c r="O12" s="8">
        <f t="shared" si="5"/>
        <v>40.72732499999999</v>
      </c>
      <c r="P12" s="8"/>
      <c r="Q12" s="8">
        <f t="shared" si="6"/>
        <v>28.18</v>
      </c>
      <c r="R12" s="8">
        <f t="shared" si="7"/>
        <v>12444.91092</v>
      </c>
      <c r="S12" s="8">
        <f t="shared" si="9"/>
        <v>64.03189217633333</v>
      </c>
      <c r="T12" s="23">
        <f t="shared" si="8"/>
        <v>973.0440178236666</v>
      </c>
    </row>
    <row r="13" spans="1:20" ht="18" customHeight="1">
      <c r="A13" s="25" t="s">
        <v>27</v>
      </c>
      <c r="B13" s="2" t="s">
        <v>34</v>
      </c>
      <c r="C13" s="2">
        <v>2</v>
      </c>
      <c r="D13" s="37">
        <v>1437</v>
      </c>
      <c r="E13" s="18">
        <v>1264</v>
      </c>
      <c r="F13" s="12">
        <v>288.14</v>
      </c>
      <c r="G13" s="14">
        <v>50</v>
      </c>
      <c r="H13" s="6">
        <v>0</v>
      </c>
      <c r="I13" s="6">
        <v>85.01</v>
      </c>
      <c r="J13" s="12">
        <f t="shared" si="0"/>
        <v>49.11449999999999</v>
      </c>
      <c r="K13" s="8">
        <f t="shared" si="1"/>
        <v>118.58926499999998</v>
      </c>
      <c r="L13" s="8">
        <f t="shared" si="2"/>
        <v>60.4235</v>
      </c>
      <c r="M13" s="8">
        <f t="shared" si="3"/>
        <v>98.22899999999998</v>
      </c>
      <c r="N13" s="8">
        <f t="shared" si="4"/>
        <v>82.35749999999999</v>
      </c>
      <c r="O13" s="8">
        <f t="shared" si="5"/>
        <v>41.747325</v>
      </c>
      <c r="P13" s="8"/>
      <c r="Q13" s="8">
        <f t="shared" si="6"/>
        <v>28.740000000000002</v>
      </c>
      <c r="R13" s="8">
        <f t="shared" si="7"/>
        <v>12672.334919999994</v>
      </c>
      <c r="S13" s="8">
        <f t="shared" si="9"/>
        <v>67.39208177633324</v>
      </c>
      <c r="T13" s="23">
        <f t="shared" si="8"/>
        <v>988.6358282236663</v>
      </c>
    </row>
    <row r="14" spans="1:20" ht="18" customHeight="1">
      <c r="A14" s="25" t="s">
        <v>28</v>
      </c>
      <c r="B14" s="2" t="s">
        <v>30</v>
      </c>
      <c r="C14" s="2"/>
      <c r="D14" s="37">
        <v>1588</v>
      </c>
      <c r="E14" s="18">
        <v>1305</v>
      </c>
      <c r="F14" s="12">
        <v>288.14</v>
      </c>
      <c r="G14" s="14">
        <v>50</v>
      </c>
      <c r="H14" s="6">
        <v>0</v>
      </c>
      <c r="I14" s="6">
        <v>85.01</v>
      </c>
      <c r="J14" s="12">
        <f t="shared" si="0"/>
        <v>50.3445</v>
      </c>
      <c r="K14" s="8">
        <f t="shared" si="1"/>
        <v>121.32396499999997</v>
      </c>
      <c r="L14" s="8">
        <f t="shared" si="2"/>
        <v>62.0635</v>
      </c>
      <c r="M14" s="8">
        <f t="shared" si="3"/>
        <v>100.689</v>
      </c>
      <c r="N14" s="8">
        <f t="shared" si="4"/>
        <v>84.40749999999998</v>
      </c>
      <c r="O14" s="8">
        <f t="shared" si="5"/>
        <v>42.79282499999999</v>
      </c>
      <c r="P14" s="8"/>
      <c r="Q14" s="8">
        <f t="shared" si="6"/>
        <v>31.76</v>
      </c>
      <c r="R14" s="8">
        <f t="shared" si="7"/>
        <v>14343.692519999997</v>
      </c>
      <c r="S14" s="8">
        <f t="shared" si="9"/>
        <v>92.08639031633328</v>
      </c>
      <c r="T14" s="23">
        <f t="shared" si="8"/>
        <v>1103.2213196836665</v>
      </c>
    </row>
    <row r="15" spans="1:20" ht="18" customHeight="1">
      <c r="A15" s="34" t="s">
        <v>29</v>
      </c>
      <c r="B15" s="2" t="s">
        <v>30</v>
      </c>
      <c r="C15" s="2">
        <v>1</v>
      </c>
      <c r="D15" s="37">
        <v>1620</v>
      </c>
      <c r="E15" s="26">
        <v>1345</v>
      </c>
      <c r="F15" s="12">
        <v>288.14</v>
      </c>
      <c r="G15" s="14">
        <v>50</v>
      </c>
      <c r="H15" s="6">
        <v>0</v>
      </c>
      <c r="I15" s="6">
        <v>85.01</v>
      </c>
      <c r="J15" s="12">
        <f t="shared" si="0"/>
        <v>51.54449999999999</v>
      </c>
      <c r="K15" s="8">
        <f t="shared" si="1"/>
        <v>123.99196499999998</v>
      </c>
      <c r="L15" s="8">
        <f t="shared" si="2"/>
        <v>63.6635</v>
      </c>
      <c r="M15" s="8">
        <f t="shared" si="3"/>
        <v>103.08899999999998</v>
      </c>
      <c r="N15" s="8">
        <f t="shared" si="4"/>
        <v>86.4075</v>
      </c>
      <c r="O15" s="8">
        <f t="shared" si="5"/>
        <v>43.812825</v>
      </c>
      <c r="P15" s="35"/>
      <c r="Q15" s="8">
        <f t="shared" si="6"/>
        <v>32.4</v>
      </c>
      <c r="R15" s="8">
        <f t="shared" si="7"/>
        <v>14618.15652</v>
      </c>
      <c r="S15" s="8">
        <f t="shared" si="9"/>
        <v>96.14159591633332</v>
      </c>
      <c r="T15" s="23">
        <f t="shared" si="8"/>
        <v>1122.0381140836669</v>
      </c>
    </row>
    <row r="16" spans="1:20" ht="19.5" customHeight="1">
      <c r="A16" s="26" t="s">
        <v>45</v>
      </c>
      <c r="B16" s="26" t="s">
        <v>30</v>
      </c>
      <c r="C16" s="26">
        <v>2</v>
      </c>
      <c r="D16" s="38">
        <v>1652</v>
      </c>
      <c r="E16" s="26">
        <v>1385</v>
      </c>
      <c r="F16" s="12">
        <v>288.14</v>
      </c>
      <c r="G16" s="14">
        <v>50</v>
      </c>
      <c r="H16" s="6">
        <v>0</v>
      </c>
      <c r="I16" s="6">
        <v>85.01</v>
      </c>
      <c r="J16" s="12">
        <f t="shared" si="0"/>
        <v>52.744499999999995</v>
      </c>
      <c r="K16" s="8">
        <f t="shared" si="1"/>
        <v>126.65996499999999</v>
      </c>
      <c r="L16" s="8">
        <f t="shared" si="2"/>
        <v>65.2635</v>
      </c>
      <c r="M16" s="8">
        <f t="shared" si="3"/>
        <v>105.48899999999999</v>
      </c>
      <c r="N16" s="8">
        <f t="shared" si="4"/>
        <v>88.4075</v>
      </c>
      <c r="O16" s="8">
        <f t="shared" si="5"/>
        <v>44.83282499999999</v>
      </c>
      <c r="P16" s="35"/>
      <c r="Q16" s="8">
        <f t="shared" si="6"/>
        <v>33.04</v>
      </c>
      <c r="R16" s="8">
        <f t="shared" si="7"/>
        <v>14892.62052</v>
      </c>
      <c r="S16" s="8">
        <f t="shared" si="9"/>
        <v>100.19680151633334</v>
      </c>
      <c r="T16" s="23">
        <f t="shared" si="8"/>
        <v>1140.8549084836666</v>
      </c>
    </row>
    <row r="18" spans="1:20" ht="12.75">
      <c r="A18" s="53" t="s">
        <v>50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</row>
    <row r="19" spans="1:20" ht="12.75">
      <c r="A19" s="51" t="s">
        <v>70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</row>
    <row r="20" spans="1:20" ht="12.75">
      <c r="A20" s="48" t="s">
        <v>56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</row>
    <row r="21" spans="1:20" ht="12.75">
      <c r="A21" s="49" t="s">
        <v>57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</row>
    <row r="22" spans="1:20" ht="12.75">
      <c r="A22" s="46" t="s">
        <v>58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</row>
    <row r="23" spans="1:20" ht="12.75">
      <c r="A23" s="46" t="s">
        <v>59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</row>
    <row r="24" spans="4:18" ht="12.75">
      <c r="D24" s="20"/>
      <c r="I24" s="4"/>
      <c r="P24" t="s">
        <v>51</v>
      </c>
      <c r="R24" s="21"/>
    </row>
    <row r="25" spans="15:17" ht="12.75">
      <c r="O25" s="47" t="s">
        <v>73</v>
      </c>
      <c r="P25" s="47"/>
      <c r="Q25" s="47"/>
    </row>
  </sheetData>
  <sheetProtection/>
  <mergeCells count="10">
    <mergeCell ref="A19:T19"/>
    <mergeCell ref="A2:S2"/>
    <mergeCell ref="A3:S3"/>
    <mergeCell ref="K4:S4"/>
    <mergeCell ref="A18:T18"/>
    <mergeCell ref="A23:T23"/>
    <mergeCell ref="O25:Q25"/>
    <mergeCell ref="A20:T20"/>
    <mergeCell ref="A21:T21"/>
    <mergeCell ref="A22:T22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25"/>
  <sheetViews>
    <sheetView zoomScalePageLayoutView="0" workbookViewId="0" topLeftCell="A1">
      <selection activeCell="V5" sqref="V5"/>
    </sheetView>
  </sheetViews>
  <sheetFormatPr defaultColWidth="9.00390625" defaultRowHeight="12.75"/>
  <cols>
    <col min="1" max="1" width="6.75390625" style="0" customWidth="1"/>
    <col min="2" max="2" width="5.875" style="0" customWidth="1"/>
    <col min="3" max="3" width="4.875" style="0" customWidth="1"/>
    <col min="4" max="4" width="10.00390625" style="20" customWidth="1"/>
    <col min="5" max="5" width="9.25390625" style="0" customWidth="1"/>
    <col min="6" max="6" width="7.25390625" style="0" hidden="1" customWidth="1"/>
    <col min="7" max="7" width="6.625" style="0" hidden="1" customWidth="1"/>
    <col min="8" max="8" width="7.00390625" style="0" customWidth="1"/>
    <col min="9" max="9" width="10.125" style="4" hidden="1" customWidth="1"/>
    <col min="10" max="10" width="9.25390625" style="0" customWidth="1"/>
    <col min="11" max="11" width="8.875" style="0" customWidth="1"/>
    <col min="12" max="12" width="7.875" style="0" customWidth="1"/>
    <col min="13" max="13" width="7.625" style="0" customWidth="1"/>
    <col min="14" max="14" width="7.375" style="0" customWidth="1"/>
    <col min="15" max="15" width="8.25390625" style="0" customWidth="1"/>
    <col min="16" max="16" width="8.875" style="0" customWidth="1"/>
    <col min="17" max="17" width="10.75390625" style="0" customWidth="1"/>
    <col min="18" max="18" width="9.125" style="21" hidden="1" customWidth="1"/>
    <col min="19" max="19" width="8.375" style="0" customWidth="1"/>
    <col min="20" max="20" width="10.625" style="0" customWidth="1"/>
  </cols>
  <sheetData>
    <row r="1" ht="30" customHeight="1"/>
    <row r="2" spans="1:19" ht="12.75">
      <c r="A2" s="50" t="s">
        <v>74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20" ht="12.75">
      <c r="A3" s="54" t="s">
        <v>46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</row>
    <row r="4" spans="1:19" ht="13.5" customHeight="1">
      <c r="A4" s="29"/>
      <c r="B4" s="29"/>
      <c r="C4" s="29"/>
      <c r="D4" s="30"/>
      <c r="E4" s="31"/>
      <c r="F4" s="32"/>
      <c r="G4" s="29"/>
      <c r="H4" s="29"/>
      <c r="I4" s="31"/>
      <c r="J4" s="31"/>
      <c r="K4" s="55" t="s">
        <v>49</v>
      </c>
      <c r="L4" s="55"/>
      <c r="M4" s="55"/>
      <c r="N4" s="55"/>
      <c r="O4" s="55"/>
      <c r="P4" s="55"/>
      <c r="Q4" s="55"/>
      <c r="R4" s="55"/>
      <c r="S4" s="55"/>
    </row>
    <row r="5" spans="1:20" ht="63.75" customHeight="1">
      <c r="A5" s="10" t="s">
        <v>0</v>
      </c>
      <c r="B5" s="10" t="s">
        <v>39</v>
      </c>
      <c r="C5" s="10" t="s">
        <v>64</v>
      </c>
      <c r="D5" s="10" t="s">
        <v>54</v>
      </c>
      <c r="E5" s="17" t="s">
        <v>53</v>
      </c>
      <c r="F5" s="11" t="s">
        <v>18</v>
      </c>
      <c r="G5" s="13" t="s">
        <v>8</v>
      </c>
      <c r="H5" s="10" t="s">
        <v>14</v>
      </c>
      <c r="I5" s="10" t="s">
        <v>19</v>
      </c>
      <c r="J5" s="11" t="s">
        <v>20</v>
      </c>
      <c r="K5" s="11" t="s">
        <v>15</v>
      </c>
      <c r="L5" s="11" t="s">
        <v>9</v>
      </c>
      <c r="M5" s="11" t="s">
        <v>10</v>
      </c>
      <c r="N5" s="11" t="s">
        <v>11</v>
      </c>
      <c r="O5" s="11" t="s">
        <v>13</v>
      </c>
      <c r="P5" s="11" t="s">
        <v>21</v>
      </c>
      <c r="Q5" s="11" t="s">
        <v>48</v>
      </c>
      <c r="R5" s="11" t="s">
        <v>17</v>
      </c>
      <c r="S5" s="11" t="s">
        <v>12</v>
      </c>
      <c r="T5" s="13" t="s">
        <v>16</v>
      </c>
    </row>
    <row r="6" spans="1:20" ht="19.5" customHeight="1">
      <c r="A6" s="2">
        <v>1</v>
      </c>
      <c r="B6" s="2" t="s">
        <v>32</v>
      </c>
      <c r="C6" s="2"/>
      <c r="D6" s="37">
        <v>1092</v>
      </c>
      <c r="E6" s="18">
        <v>985</v>
      </c>
      <c r="F6" s="12">
        <v>288.14</v>
      </c>
      <c r="G6" s="14">
        <v>50</v>
      </c>
      <c r="H6" s="6">
        <v>50</v>
      </c>
      <c r="I6" s="6">
        <v>85.01</v>
      </c>
      <c r="J6" s="12">
        <f aca="true" t="shared" si="0" ref="J6:J16">(E6+F6+H6+I6)*3%</f>
        <v>42.244499999999995</v>
      </c>
      <c r="K6" s="8">
        <f aca="true" t="shared" si="1" ref="K6:K16">(E6+F6+H6+I6+140.8)*6.67%</f>
        <v>103.31496499999999</v>
      </c>
      <c r="L6" s="8">
        <f aca="true" t="shared" si="2" ref="L6:L16">(E6+140.8)*4%+(F6+G6+H6+I6)*1%</f>
        <v>49.76349999999999</v>
      </c>
      <c r="M6" s="8">
        <f aca="true" t="shared" si="3" ref="M6:M16">(E6+F6+H6+I6)*3%+J6</f>
        <v>84.48899999999999</v>
      </c>
      <c r="N6" s="8">
        <f aca="true" t="shared" si="4" ref="N6:N16">(E6+F6+H6+I6)*4%+(E6+F6+G6+H6+I6)*1%</f>
        <v>70.9075</v>
      </c>
      <c r="O6" s="8">
        <f aca="true" t="shared" si="5" ref="O6:O16">(E6+F6+H6+I6)*2.55%</f>
        <v>35.907824999999995</v>
      </c>
      <c r="P6" s="8">
        <f>(D6+H6)/12+((D6+H6)/2)/24</f>
        <v>118.95833333333334</v>
      </c>
      <c r="Q6" s="8">
        <f>(D6+H6)*2%</f>
        <v>22.84</v>
      </c>
      <c r="R6" s="8">
        <f>(D6+H6+J6-K6-L6-M6-N6-O6-P6-Q6)*12</f>
        <v>8376.760519999998</v>
      </c>
      <c r="S6" s="8">
        <f>((R6-7000)*10%-((R6-7000)*10%)*1.5%)/12</f>
        <v>11.300909268333315</v>
      </c>
      <c r="T6" s="23">
        <f>D6+H6+J6-K6-L6-M6-N6-O6-P6-Q6-S6</f>
        <v>686.7624673983332</v>
      </c>
    </row>
    <row r="7" spans="1:20" ht="19.5" customHeight="1">
      <c r="A7" s="25" t="s">
        <v>65</v>
      </c>
      <c r="B7" s="2" t="s">
        <v>32</v>
      </c>
      <c r="C7" s="2"/>
      <c r="D7" s="37">
        <v>1092</v>
      </c>
      <c r="E7" s="18">
        <v>1025</v>
      </c>
      <c r="F7" s="12">
        <v>288.14</v>
      </c>
      <c r="G7" s="14">
        <v>50</v>
      </c>
      <c r="H7" s="6">
        <v>50</v>
      </c>
      <c r="I7" s="6">
        <v>85.01</v>
      </c>
      <c r="J7" s="12">
        <f t="shared" si="0"/>
        <v>43.44449999999999</v>
      </c>
      <c r="K7" s="8">
        <f t="shared" si="1"/>
        <v>105.98296499999998</v>
      </c>
      <c r="L7" s="8">
        <f t="shared" si="2"/>
        <v>51.363499999999995</v>
      </c>
      <c r="M7" s="8">
        <f t="shared" si="3"/>
        <v>86.88899999999998</v>
      </c>
      <c r="N7" s="8">
        <f t="shared" si="4"/>
        <v>72.9075</v>
      </c>
      <c r="O7" s="8">
        <f t="shared" si="5"/>
        <v>36.92782499999999</v>
      </c>
      <c r="P7" s="8">
        <f>((D7+H7)/2)/24</f>
        <v>23.791666666666668</v>
      </c>
      <c r="Q7" s="8">
        <f aca="true" t="shared" si="6" ref="Q7:Q16">(D7+H7)*2%</f>
        <v>22.84</v>
      </c>
      <c r="R7" s="8">
        <f aca="true" t="shared" si="7" ref="R7:R16">(D7+H7+J7-K7-L7-M7-N7-O7-P7-Q7)*12</f>
        <v>9416.904520000002</v>
      </c>
      <c r="S7" s="8">
        <f>((R7-7000)*10%-((R7-7000)*10%)*1.5%)/12</f>
        <v>19.838757935000014</v>
      </c>
      <c r="T7" s="23">
        <f aca="true" t="shared" si="8" ref="T7:T14">D7+H7+J7-K7-L7-M7-N7-O7-P7-Q7-S7</f>
        <v>764.9032853983335</v>
      </c>
    </row>
    <row r="8" spans="1:20" ht="19.5" customHeight="1">
      <c r="A8" s="25" t="s">
        <v>22</v>
      </c>
      <c r="B8" s="2" t="s">
        <v>33</v>
      </c>
      <c r="C8" s="2"/>
      <c r="D8" s="37">
        <v>1201</v>
      </c>
      <c r="E8" s="18">
        <v>1064</v>
      </c>
      <c r="F8" s="12">
        <v>288.14</v>
      </c>
      <c r="G8" s="14">
        <v>50</v>
      </c>
      <c r="H8" s="6">
        <v>50</v>
      </c>
      <c r="I8" s="6">
        <v>85.01</v>
      </c>
      <c r="J8" s="12">
        <f t="shared" si="0"/>
        <v>44.61449999999999</v>
      </c>
      <c r="K8" s="8">
        <f t="shared" si="1"/>
        <v>108.58426499999997</v>
      </c>
      <c r="L8" s="8">
        <f t="shared" si="2"/>
        <v>52.9235</v>
      </c>
      <c r="M8" s="8">
        <f t="shared" si="3"/>
        <v>89.22899999999998</v>
      </c>
      <c r="N8" s="8">
        <f t="shared" si="4"/>
        <v>74.8575</v>
      </c>
      <c r="O8" s="8">
        <f t="shared" si="5"/>
        <v>37.922324999999994</v>
      </c>
      <c r="P8" s="8"/>
      <c r="Q8" s="8">
        <f t="shared" si="6"/>
        <v>25.02</v>
      </c>
      <c r="R8" s="8">
        <f t="shared" si="7"/>
        <v>10884.934919999998</v>
      </c>
      <c r="S8" s="8">
        <f>((R8-7000)*10%-((R8-7000)*10%)*1.5%)/12</f>
        <v>31.88884080166665</v>
      </c>
      <c r="T8" s="23">
        <f t="shared" si="8"/>
        <v>875.1890691983332</v>
      </c>
    </row>
    <row r="9" spans="1:20" ht="19.5" customHeight="1">
      <c r="A9" s="25" t="s">
        <v>24</v>
      </c>
      <c r="B9" s="2" t="s">
        <v>33</v>
      </c>
      <c r="C9" s="2">
        <v>1</v>
      </c>
      <c r="D9" s="37">
        <v>1225</v>
      </c>
      <c r="E9" s="18">
        <v>1104</v>
      </c>
      <c r="F9" s="12">
        <v>288.14</v>
      </c>
      <c r="G9" s="14">
        <v>50</v>
      </c>
      <c r="H9" s="6">
        <v>50</v>
      </c>
      <c r="I9" s="6">
        <v>85.01</v>
      </c>
      <c r="J9" s="12">
        <f t="shared" si="0"/>
        <v>45.814499999999995</v>
      </c>
      <c r="K9" s="8">
        <f t="shared" si="1"/>
        <v>111.25226499999998</v>
      </c>
      <c r="L9" s="8">
        <f t="shared" si="2"/>
        <v>54.5235</v>
      </c>
      <c r="M9" s="8">
        <f t="shared" si="3"/>
        <v>91.62899999999999</v>
      </c>
      <c r="N9" s="8">
        <f t="shared" si="4"/>
        <v>76.8575</v>
      </c>
      <c r="O9" s="8">
        <f t="shared" si="5"/>
        <v>38.942325</v>
      </c>
      <c r="P9" s="8"/>
      <c r="Q9" s="8">
        <f t="shared" si="6"/>
        <v>25.5</v>
      </c>
      <c r="R9" s="8">
        <f t="shared" si="7"/>
        <v>11065.31892</v>
      </c>
      <c r="S9" s="8">
        <f>((R9-7000)*10%-((R9-7000)*10%)*1.5%)/12</f>
        <v>33.36949280166667</v>
      </c>
      <c r="T9" s="23">
        <f t="shared" si="8"/>
        <v>888.7404171983334</v>
      </c>
    </row>
    <row r="10" spans="1:20" ht="19.5" customHeight="1">
      <c r="A10" s="25" t="s">
        <v>23</v>
      </c>
      <c r="B10" s="2" t="s">
        <v>33</v>
      </c>
      <c r="C10" s="2">
        <v>2</v>
      </c>
      <c r="D10" s="37">
        <v>1250</v>
      </c>
      <c r="E10" s="18">
        <v>1144</v>
      </c>
      <c r="F10" s="12">
        <v>288.14</v>
      </c>
      <c r="G10" s="14">
        <v>50</v>
      </c>
      <c r="H10" s="6">
        <v>50</v>
      </c>
      <c r="I10" s="6">
        <v>85.01</v>
      </c>
      <c r="J10" s="12">
        <f t="shared" si="0"/>
        <v>47.01449999999999</v>
      </c>
      <c r="K10" s="8">
        <f t="shared" si="1"/>
        <v>113.92026499999999</v>
      </c>
      <c r="L10" s="8">
        <f t="shared" si="2"/>
        <v>56.12349999999999</v>
      </c>
      <c r="M10" s="8">
        <f t="shared" si="3"/>
        <v>94.02899999999998</v>
      </c>
      <c r="N10" s="8">
        <f t="shared" si="4"/>
        <v>78.85749999999999</v>
      </c>
      <c r="O10" s="8">
        <f t="shared" si="5"/>
        <v>39.96232499999999</v>
      </c>
      <c r="P10" s="8"/>
      <c r="Q10" s="8">
        <f t="shared" si="6"/>
        <v>26</v>
      </c>
      <c r="R10" s="8">
        <f t="shared" si="7"/>
        <v>11257.462920000002</v>
      </c>
      <c r="S10" s="8">
        <f>((R10-7000)*10%-((R10-7000)*10%)*1.5%)/12</f>
        <v>34.94667480166668</v>
      </c>
      <c r="T10" s="23">
        <f t="shared" si="8"/>
        <v>903.1752351983336</v>
      </c>
    </row>
    <row r="11" spans="1:20" ht="19.5" customHeight="1">
      <c r="A11" s="25" t="s">
        <v>25</v>
      </c>
      <c r="B11" s="2" t="s">
        <v>34</v>
      </c>
      <c r="C11" s="2"/>
      <c r="D11" s="37">
        <v>1381</v>
      </c>
      <c r="E11" s="18">
        <v>1185</v>
      </c>
      <c r="F11" s="12">
        <v>288.14</v>
      </c>
      <c r="G11" s="14">
        <v>50</v>
      </c>
      <c r="H11" s="6">
        <v>50</v>
      </c>
      <c r="I11" s="6">
        <v>85.01</v>
      </c>
      <c r="J11" s="12">
        <f t="shared" si="0"/>
        <v>48.244499999999995</v>
      </c>
      <c r="K11" s="8">
        <f t="shared" si="1"/>
        <v>116.65496499999998</v>
      </c>
      <c r="L11" s="8">
        <f t="shared" si="2"/>
        <v>57.76349999999999</v>
      </c>
      <c r="M11" s="8">
        <f t="shared" si="3"/>
        <v>96.48899999999999</v>
      </c>
      <c r="N11" s="8">
        <f t="shared" si="4"/>
        <v>80.9075</v>
      </c>
      <c r="O11" s="8">
        <f t="shared" si="5"/>
        <v>41.007825</v>
      </c>
      <c r="P11" s="8"/>
      <c r="Q11" s="8">
        <f t="shared" si="6"/>
        <v>28.62</v>
      </c>
      <c r="R11" s="8">
        <f t="shared" si="7"/>
        <v>12693.620520000002</v>
      </c>
      <c r="S11" s="8">
        <f aca="true" t="shared" si="9" ref="S11:S16">((R11-12000)*18%+500-((R11-12000)*18%+500)*1.5%)/12</f>
        <v>51.28990984966671</v>
      </c>
      <c r="T11" s="23">
        <f t="shared" si="8"/>
        <v>1006.5118001503334</v>
      </c>
    </row>
    <row r="12" spans="1:20" ht="19.5" customHeight="1">
      <c r="A12" s="25" t="s">
        <v>26</v>
      </c>
      <c r="B12" s="2" t="s">
        <v>34</v>
      </c>
      <c r="C12" s="2">
        <v>1</v>
      </c>
      <c r="D12" s="37">
        <v>1409</v>
      </c>
      <c r="E12" s="18">
        <v>1224</v>
      </c>
      <c r="F12" s="12">
        <v>288.14</v>
      </c>
      <c r="G12" s="14">
        <v>50</v>
      </c>
      <c r="H12" s="6">
        <v>50</v>
      </c>
      <c r="I12" s="6">
        <v>85.01</v>
      </c>
      <c r="J12" s="12">
        <f t="shared" si="0"/>
        <v>49.4145</v>
      </c>
      <c r="K12" s="8">
        <f t="shared" si="1"/>
        <v>119.25626499999998</v>
      </c>
      <c r="L12" s="8">
        <f t="shared" si="2"/>
        <v>59.323499999999996</v>
      </c>
      <c r="M12" s="8">
        <f t="shared" si="3"/>
        <v>98.829</v>
      </c>
      <c r="N12" s="8">
        <f t="shared" si="4"/>
        <v>82.85749999999999</v>
      </c>
      <c r="O12" s="8">
        <f t="shared" si="5"/>
        <v>42.00232499999999</v>
      </c>
      <c r="P12" s="8"/>
      <c r="Q12" s="8">
        <f t="shared" si="6"/>
        <v>29.18</v>
      </c>
      <c r="R12" s="8">
        <f t="shared" si="7"/>
        <v>12923.590920000002</v>
      </c>
      <c r="S12" s="8">
        <f t="shared" si="9"/>
        <v>54.687722509666706</v>
      </c>
      <c r="T12" s="23">
        <f t="shared" si="8"/>
        <v>1022.2781874903334</v>
      </c>
    </row>
    <row r="13" spans="1:20" ht="19.5" customHeight="1">
      <c r="A13" s="25" t="s">
        <v>27</v>
      </c>
      <c r="B13" s="2" t="s">
        <v>34</v>
      </c>
      <c r="C13" s="2">
        <v>2</v>
      </c>
      <c r="D13" s="37">
        <v>1437</v>
      </c>
      <c r="E13" s="18">
        <v>1264</v>
      </c>
      <c r="F13" s="12">
        <v>288.14</v>
      </c>
      <c r="G13" s="14">
        <v>50</v>
      </c>
      <c r="H13" s="6">
        <v>50</v>
      </c>
      <c r="I13" s="6">
        <v>85.01</v>
      </c>
      <c r="J13" s="12">
        <f t="shared" si="0"/>
        <v>50.61449999999999</v>
      </c>
      <c r="K13" s="8">
        <f t="shared" si="1"/>
        <v>121.92426499999998</v>
      </c>
      <c r="L13" s="8">
        <f t="shared" si="2"/>
        <v>60.9235</v>
      </c>
      <c r="M13" s="8">
        <f t="shared" si="3"/>
        <v>101.22899999999998</v>
      </c>
      <c r="N13" s="8">
        <f t="shared" si="4"/>
        <v>84.85749999999999</v>
      </c>
      <c r="O13" s="8">
        <f t="shared" si="5"/>
        <v>43.022324999999995</v>
      </c>
      <c r="P13" s="8"/>
      <c r="Q13" s="8">
        <f t="shared" si="6"/>
        <v>29.740000000000002</v>
      </c>
      <c r="R13" s="8">
        <f t="shared" si="7"/>
        <v>13151.014919999998</v>
      </c>
      <c r="S13" s="8">
        <f t="shared" si="9"/>
        <v>58.04791210966663</v>
      </c>
      <c r="T13" s="23">
        <f t="shared" si="8"/>
        <v>1037.8699978903333</v>
      </c>
    </row>
    <row r="14" spans="1:20" ht="19.5" customHeight="1">
      <c r="A14" s="25" t="s">
        <v>28</v>
      </c>
      <c r="B14" s="2" t="s">
        <v>30</v>
      </c>
      <c r="C14" s="2"/>
      <c r="D14" s="37">
        <v>1588</v>
      </c>
      <c r="E14" s="18">
        <v>1305</v>
      </c>
      <c r="F14" s="12">
        <v>288.14</v>
      </c>
      <c r="G14" s="14">
        <v>50</v>
      </c>
      <c r="H14" s="6">
        <v>50</v>
      </c>
      <c r="I14" s="6">
        <v>85.01</v>
      </c>
      <c r="J14" s="12">
        <f t="shared" si="0"/>
        <v>51.8445</v>
      </c>
      <c r="K14" s="8">
        <f t="shared" si="1"/>
        <v>124.65896499999998</v>
      </c>
      <c r="L14" s="8">
        <f t="shared" si="2"/>
        <v>62.5635</v>
      </c>
      <c r="M14" s="8">
        <f t="shared" si="3"/>
        <v>103.689</v>
      </c>
      <c r="N14" s="8">
        <f t="shared" si="4"/>
        <v>86.90749999999998</v>
      </c>
      <c r="O14" s="8">
        <f t="shared" si="5"/>
        <v>44.06782499999999</v>
      </c>
      <c r="P14" s="8"/>
      <c r="Q14" s="8">
        <f t="shared" si="6"/>
        <v>32.76</v>
      </c>
      <c r="R14" s="8">
        <f t="shared" si="7"/>
        <v>14822.372519999997</v>
      </c>
      <c r="S14" s="8">
        <f t="shared" si="9"/>
        <v>82.74222064966662</v>
      </c>
      <c r="T14" s="23">
        <f t="shared" si="8"/>
        <v>1152.455489350333</v>
      </c>
    </row>
    <row r="15" spans="1:20" ht="19.5" customHeight="1">
      <c r="A15" s="34" t="s">
        <v>29</v>
      </c>
      <c r="B15" s="2" t="s">
        <v>30</v>
      </c>
      <c r="C15" s="2">
        <v>1</v>
      </c>
      <c r="D15" s="37">
        <v>1620</v>
      </c>
      <c r="E15" s="26">
        <v>1345</v>
      </c>
      <c r="F15" s="12">
        <v>288.14</v>
      </c>
      <c r="G15" s="14">
        <v>50</v>
      </c>
      <c r="H15" s="6">
        <v>50</v>
      </c>
      <c r="I15" s="6">
        <v>85.01</v>
      </c>
      <c r="J15" s="12">
        <f t="shared" si="0"/>
        <v>53.04449999999999</v>
      </c>
      <c r="K15" s="8">
        <f t="shared" si="1"/>
        <v>127.32696499999997</v>
      </c>
      <c r="L15" s="8">
        <f t="shared" si="2"/>
        <v>64.1635</v>
      </c>
      <c r="M15" s="8">
        <f t="shared" si="3"/>
        <v>106.08899999999998</v>
      </c>
      <c r="N15" s="8">
        <f t="shared" si="4"/>
        <v>88.9075</v>
      </c>
      <c r="O15" s="8">
        <f t="shared" si="5"/>
        <v>45.087824999999995</v>
      </c>
      <c r="P15" s="35"/>
      <c r="Q15" s="8">
        <f t="shared" si="6"/>
        <v>33.4</v>
      </c>
      <c r="R15" s="8">
        <f t="shared" si="7"/>
        <v>15096.83652</v>
      </c>
      <c r="S15" s="8">
        <f t="shared" si="9"/>
        <v>86.79742624966667</v>
      </c>
      <c r="T15" s="23">
        <f>D15+H15+J15-K15-L15-M15-N15-O15-P15-Q15-S15</f>
        <v>1171.2722837503334</v>
      </c>
    </row>
    <row r="16" spans="1:20" ht="19.5" customHeight="1">
      <c r="A16" s="26" t="s">
        <v>45</v>
      </c>
      <c r="B16" s="26" t="s">
        <v>30</v>
      </c>
      <c r="C16" s="26">
        <v>2</v>
      </c>
      <c r="D16" s="38">
        <v>1652</v>
      </c>
      <c r="E16" s="26">
        <v>1385</v>
      </c>
      <c r="F16" s="12">
        <v>288.14</v>
      </c>
      <c r="G16" s="14">
        <v>50</v>
      </c>
      <c r="H16" s="6">
        <v>50</v>
      </c>
      <c r="I16" s="6">
        <v>85.01</v>
      </c>
      <c r="J16" s="12">
        <f t="shared" si="0"/>
        <v>54.244499999999995</v>
      </c>
      <c r="K16" s="8">
        <f t="shared" si="1"/>
        <v>129.99496499999998</v>
      </c>
      <c r="L16" s="8">
        <f t="shared" si="2"/>
        <v>65.7635</v>
      </c>
      <c r="M16" s="8">
        <f t="shared" si="3"/>
        <v>108.48899999999999</v>
      </c>
      <c r="N16" s="8">
        <f t="shared" si="4"/>
        <v>90.9075</v>
      </c>
      <c r="O16" s="8">
        <f t="shared" si="5"/>
        <v>46.10782499999999</v>
      </c>
      <c r="P16" s="35"/>
      <c r="Q16" s="8">
        <f t="shared" si="6"/>
        <v>34.04</v>
      </c>
      <c r="R16" s="8">
        <f t="shared" si="7"/>
        <v>15371.300519999997</v>
      </c>
      <c r="S16" s="8">
        <f t="shared" si="9"/>
        <v>90.85263184966662</v>
      </c>
      <c r="T16" s="23">
        <f>D16+H16+J16-K16-L16-M16-N16-O16-P16-Q16-S16</f>
        <v>1190.0890781503333</v>
      </c>
    </row>
    <row r="17" spans="8:18" ht="12.75" customHeight="1">
      <c r="H17" s="22"/>
      <c r="I17"/>
      <c r="R17"/>
    </row>
    <row r="18" spans="1:20" ht="12.75" customHeight="1">
      <c r="A18" s="53" t="s">
        <v>50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</row>
    <row r="19" spans="1:20" ht="12.75" customHeight="1">
      <c r="A19" s="51" t="s">
        <v>70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</row>
    <row r="20" spans="1:20" ht="12.75" customHeight="1">
      <c r="A20" s="48" t="s">
        <v>56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</row>
    <row r="21" spans="1:20" ht="12.75" customHeight="1">
      <c r="A21" s="49" t="s">
        <v>57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</row>
    <row r="22" spans="1:20" ht="12.75" customHeight="1">
      <c r="A22" s="46" t="s">
        <v>58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</row>
    <row r="23" spans="1:20" ht="12.75">
      <c r="A23" s="46" t="s">
        <v>59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</row>
    <row r="24" ht="12.75" customHeight="1">
      <c r="P24" t="s">
        <v>51</v>
      </c>
    </row>
    <row r="25" spans="15:17" ht="12.75">
      <c r="O25" s="47" t="s">
        <v>73</v>
      </c>
      <c r="P25" s="47"/>
      <c r="Q25" s="47"/>
    </row>
  </sheetData>
  <sheetProtection/>
  <mergeCells count="10">
    <mergeCell ref="A22:T22"/>
    <mergeCell ref="A23:T23"/>
    <mergeCell ref="A2:S2"/>
    <mergeCell ref="O25:Q25"/>
    <mergeCell ref="A20:T20"/>
    <mergeCell ref="A3:T3"/>
    <mergeCell ref="A18:T18"/>
    <mergeCell ref="A19:T19"/>
    <mergeCell ref="K4:S4"/>
    <mergeCell ref="A21:T21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25"/>
  <sheetViews>
    <sheetView zoomScalePageLayoutView="0" workbookViewId="0" topLeftCell="A1">
      <selection activeCell="A3" sqref="A3:T3"/>
    </sheetView>
  </sheetViews>
  <sheetFormatPr defaultColWidth="9.00390625" defaultRowHeight="12.75"/>
  <cols>
    <col min="1" max="1" width="6.125" style="0" customWidth="1"/>
    <col min="2" max="2" width="5.875" style="0" customWidth="1"/>
    <col min="3" max="3" width="5.00390625" style="0" customWidth="1"/>
    <col min="4" max="4" width="9.25390625" style="0" bestFit="1" customWidth="1"/>
    <col min="5" max="5" width="9.75390625" style="0" customWidth="1"/>
    <col min="6" max="6" width="7.25390625" style="0" hidden="1" customWidth="1"/>
    <col min="7" max="7" width="6.625" style="0" hidden="1" customWidth="1"/>
    <col min="8" max="8" width="6.00390625" style="0" customWidth="1"/>
    <col min="9" max="9" width="9.375" style="0" hidden="1" customWidth="1"/>
    <col min="10" max="10" width="9.625" style="0" customWidth="1"/>
    <col min="11" max="11" width="8.125" style="0" customWidth="1"/>
    <col min="12" max="12" width="7.625" style="0" customWidth="1"/>
    <col min="13" max="13" width="8.00390625" style="0" customWidth="1"/>
    <col min="14" max="14" width="8.625" style="0" customWidth="1"/>
    <col min="15" max="15" width="7.625" style="0" customWidth="1"/>
    <col min="16" max="16" width="9.375" style="0" customWidth="1"/>
    <col min="17" max="17" width="11.25390625" style="0" customWidth="1"/>
    <col min="18" max="18" width="9.125" style="0" hidden="1" customWidth="1"/>
    <col min="19" max="19" width="8.375" style="0" customWidth="1"/>
    <col min="20" max="20" width="9.75390625" style="0" customWidth="1"/>
  </cols>
  <sheetData>
    <row r="1" ht="25.5" customHeight="1"/>
    <row r="2" spans="1:19" ht="15.75" customHeight="1">
      <c r="A2" s="50" t="s">
        <v>75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20" ht="14.25" customHeight="1">
      <c r="A3" s="54" t="s">
        <v>47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</row>
    <row r="4" spans="1:20" ht="12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52" t="s">
        <v>49</v>
      </c>
      <c r="L4" s="52"/>
      <c r="M4" s="52"/>
      <c r="N4" s="52"/>
      <c r="O4" s="52"/>
      <c r="P4" s="52"/>
      <c r="Q4" s="52"/>
      <c r="R4" s="52"/>
      <c r="S4" s="52"/>
      <c r="T4" s="36"/>
    </row>
    <row r="5" spans="1:20" ht="53.25" customHeight="1">
      <c r="A5" s="10" t="s">
        <v>0</v>
      </c>
      <c r="B5" s="10" t="s">
        <v>39</v>
      </c>
      <c r="C5" s="10" t="s">
        <v>66</v>
      </c>
      <c r="D5" s="10" t="s">
        <v>54</v>
      </c>
      <c r="E5" s="17" t="s">
        <v>53</v>
      </c>
      <c r="F5" s="11" t="s">
        <v>18</v>
      </c>
      <c r="G5" s="13" t="s">
        <v>8</v>
      </c>
      <c r="H5" s="10" t="s">
        <v>14</v>
      </c>
      <c r="I5" s="10" t="s">
        <v>19</v>
      </c>
      <c r="J5" s="11" t="s">
        <v>20</v>
      </c>
      <c r="K5" s="11" t="s">
        <v>15</v>
      </c>
      <c r="L5" s="11" t="s">
        <v>9</v>
      </c>
      <c r="M5" s="11" t="s">
        <v>10</v>
      </c>
      <c r="N5" s="11" t="s">
        <v>11</v>
      </c>
      <c r="O5" s="11" t="s">
        <v>13</v>
      </c>
      <c r="P5" s="11" t="s">
        <v>21</v>
      </c>
      <c r="Q5" s="11" t="s">
        <v>48</v>
      </c>
      <c r="R5" s="11" t="s">
        <v>17</v>
      </c>
      <c r="S5" s="11" t="s">
        <v>12</v>
      </c>
      <c r="T5" s="13" t="s">
        <v>16</v>
      </c>
    </row>
    <row r="6" spans="1:20" ht="19.5" customHeight="1">
      <c r="A6" s="2">
        <v>1</v>
      </c>
      <c r="B6" s="2" t="s">
        <v>32</v>
      </c>
      <c r="C6" s="2"/>
      <c r="D6" s="37">
        <v>1092</v>
      </c>
      <c r="E6" s="18">
        <v>985</v>
      </c>
      <c r="F6" s="12">
        <v>288.14</v>
      </c>
      <c r="G6" s="14">
        <v>50</v>
      </c>
      <c r="H6" s="6">
        <v>70</v>
      </c>
      <c r="I6" s="6">
        <v>85.01</v>
      </c>
      <c r="J6" s="12">
        <f aca="true" t="shared" si="0" ref="J6:J16">(E6+F6+H6+I6)*3%</f>
        <v>42.8445</v>
      </c>
      <c r="K6" s="8">
        <f aca="true" t="shared" si="1" ref="K6:K16">(E6+F6+H6+I6+140.8)*6.67%</f>
        <v>104.64896499999998</v>
      </c>
      <c r="L6" s="8">
        <f aca="true" t="shared" si="2" ref="L6:L16">(E6+140.8)*4%+(F6+G6+H6+I6)*1%</f>
        <v>49.963499999999996</v>
      </c>
      <c r="M6" s="8">
        <f aca="true" t="shared" si="3" ref="M6:M16">(E6+F6+H6+I6)*3%+J6</f>
        <v>85.689</v>
      </c>
      <c r="N6" s="8">
        <f aca="true" t="shared" si="4" ref="N6:N16">(E6+F6+H6+I6)*4%+(E6+F6+G6+H6+I6)*1%</f>
        <v>71.9075</v>
      </c>
      <c r="O6" s="8">
        <f aca="true" t="shared" si="5" ref="O6:O16">(E6+F6+H6+I6)*2.55%</f>
        <v>36.41782499999999</v>
      </c>
      <c r="P6" s="8">
        <f>(D6+H6)/12+((D6+H6)/2)/24</f>
        <v>121.04166666666666</v>
      </c>
      <c r="Q6" s="8">
        <f>(D6+H6)*2%</f>
        <v>23.240000000000002</v>
      </c>
      <c r="R6" s="8">
        <f>(D6+H6+J6-K6-L6-M6-N6-O6-P6-Q6)*12</f>
        <v>8543.232519999998</v>
      </c>
      <c r="S6" s="8">
        <v>0</v>
      </c>
      <c r="T6" s="23">
        <f>D6+H6+J6-K6-L6-M6-N6-O6-P6-Q6-S6</f>
        <v>711.9360433333331</v>
      </c>
    </row>
    <row r="7" spans="1:20" ht="19.5" customHeight="1">
      <c r="A7" s="25" t="s">
        <v>65</v>
      </c>
      <c r="B7" s="2" t="s">
        <v>32</v>
      </c>
      <c r="C7" s="2"/>
      <c r="D7" s="37">
        <v>1092</v>
      </c>
      <c r="E7" s="18">
        <v>1025</v>
      </c>
      <c r="F7" s="12">
        <v>288.14</v>
      </c>
      <c r="G7" s="14">
        <v>50</v>
      </c>
      <c r="H7" s="6">
        <v>70</v>
      </c>
      <c r="I7" s="6">
        <v>85.01</v>
      </c>
      <c r="J7" s="12">
        <f t="shared" si="0"/>
        <v>44.04449999999999</v>
      </c>
      <c r="K7" s="8">
        <f t="shared" si="1"/>
        <v>107.31696499999998</v>
      </c>
      <c r="L7" s="8">
        <f t="shared" si="2"/>
        <v>51.5635</v>
      </c>
      <c r="M7" s="8">
        <f t="shared" si="3"/>
        <v>88.08899999999998</v>
      </c>
      <c r="N7" s="8">
        <f t="shared" si="4"/>
        <v>73.9075</v>
      </c>
      <c r="O7" s="8">
        <f t="shared" si="5"/>
        <v>37.437825</v>
      </c>
      <c r="P7" s="8">
        <f>((D7+H7)/2)/24</f>
        <v>24.208333333333332</v>
      </c>
      <c r="Q7" s="8">
        <f aca="true" t="shared" si="6" ref="Q7:Q16">(D7+H7)*2%</f>
        <v>23.240000000000002</v>
      </c>
      <c r="R7" s="8">
        <f aca="true" t="shared" si="7" ref="R7:R16">(D7+H7+J7-K7-L7-M7-N7-O7-P7-Q7)*12</f>
        <v>9603.37652</v>
      </c>
      <c r="S7" s="8">
        <f>((R7-9000)*10%-((R7-9000)*10%)*1.5%)/12</f>
        <v>4.952715601666665</v>
      </c>
      <c r="T7" s="23">
        <f aca="true" t="shared" si="8" ref="T7:T16">D7+H7+J7-K7-L7-M7-N7-O7-P7-Q7-S7</f>
        <v>795.328661065</v>
      </c>
    </row>
    <row r="8" spans="1:20" ht="19.5" customHeight="1">
      <c r="A8" s="25" t="s">
        <v>22</v>
      </c>
      <c r="B8" s="2" t="s">
        <v>33</v>
      </c>
      <c r="C8" s="2"/>
      <c r="D8" s="37">
        <v>1201</v>
      </c>
      <c r="E8" s="18">
        <v>1064</v>
      </c>
      <c r="F8" s="12">
        <v>288.14</v>
      </c>
      <c r="G8" s="14">
        <v>50</v>
      </c>
      <c r="H8" s="6">
        <v>70</v>
      </c>
      <c r="I8" s="6">
        <v>85.01</v>
      </c>
      <c r="J8" s="12">
        <f t="shared" si="0"/>
        <v>45.214499999999994</v>
      </c>
      <c r="K8" s="8">
        <f t="shared" si="1"/>
        <v>109.91826499999998</v>
      </c>
      <c r="L8" s="8">
        <f t="shared" si="2"/>
        <v>53.1235</v>
      </c>
      <c r="M8" s="8">
        <f t="shared" si="3"/>
        <v>90.42899999999999</v>
      </c>
      <c r="N8" s="8">
        <f t="shared" si="4"/>
        <v>75.85749999999999</v>
      </c>
      <c r="O8" s="8">
        <f t="shared" si="5"/>
        <v>38.43232499999999</v>
      </c>
      <c r="P8" s="8"/>
      <c r="Q8" s="8">
        <f t="shared" si="6"/>
        <v>25.42</v>
      </c>
      <c r="R8" s="8">
        <f t="shared" si="7"/>
        <v>11076.406920000001</v>
      </c>
      <c r="S8" s="8">
        <f>((R8-9000)*10%-((R8-9000)*10%)*1.5%)/12</f>
        <v>17.04384013500001</v>
      </c>
      <c r="T8" s="23">
        <f t="shared" si="8"/>
        <v>905.9900698650001</v>
      </c>
    </row>
    <row r="9" spans="1:20" ht="19.5" customHeight="1">
      <c r="A9" s="25" t="s">
        <v>24</v>
      </c>
      <c r="B9" s="2" t="s">
        <v>33</v>
      </c>
      <c r="C9" s="2">
        <v>1</v>
      </c>
      <c r="D9" s="37">
        <v>1225</v>
      </c>
      <c r="E9" s="18">
        <v>1104</v>
      </c>
      <c r="F9" s="12">
        <v>288.14</v>
      </c>
      <c r="G9" s="14">
        <v>50</v>
      </c>
      <c r="H9" s="6">
        <v>70</v>
      </c>
      <c r="I9" s="6">
        <v>85.01</v>
      </c>
      <c r="J9" s="12">
        <f t="shared" si="0"/>
        <v>46.4145</v>
      </c>
      <c r="K9" s="8">
        <f t="shared" si="1"/>
        <v>112.58626499999998</v>
      </c>
      <c r="L9" s="8">
        <f t="shared" si="2"/>
        <v>54.7235</v>
      </c>
      <c r="M9" s="8">
        <f t="shared" si="3"/>
        <v>92.829</v>
      </c>
      <c r="N9" s="8">
        <f t="shared" si="4"/>
        <v>77.85749999999999</v>
      </c>
      <c r="O9" s="8">
        <f t="shared" si="5"/>
        <v>39.452324999999995</v>
      </c>
      <c r="P9" s="8"/>
      <c r="Q9" s="8">
        <f t="shared" si="6"/>
        <v>25.900000000000002</v>
      </c>
      <c r="R9" s="8">
        <f t="shared" si="7"/>
        <v>11256.790920000003</v>
      </c>
      <c r="S9" s="8">
        <f>((R9-9000)*10%-((R9-9000)*10%)*1.5%)/12</f>
        <v>18.524492135000028</v>
      </c>
      <c r="T9" s="23">
        <f t="shared" si="8"/>
        <v>919.5414178650002</v>
      </c>
    </row>
    <row r="10" spans="1:20" ht="19.5" customHeight="1">
      <c r="A10" s="25" t="s">
        <v>23</v>
      </c>
      <c r="B10" s="2" t="s">
        <v>33</v>
      </c>
      <c r="C10" s="2">
        <v>2</v>
      </c>
      <c r="D10" s="37">
        <v>1250</v>
      </c>
      <c r="E10" s="18">
        <v>1144</v>
      </c>
      <c r="F10" s="12">
        <v>288.14</v>
      </c>
      <c r="G10" s="14">
        <v>50</v>
      </c>
      <c r="H10" s="6">
        <v>70</v>
      </c>
      <c r="I10" s="6">
        <v>85.01</v>
      </c>
      <c r="J10" s="12">
        <f t="shared" si="0"/>
        <v>47.61449999999999</v>
      </c>
      <c r="K10" s="8">
        <f t="shared" si="1"/>
        <v>115.25426499999998</v>
      </c>
      <c r="L10" s="8">
        <f t="shared" si="2"/>
        <v>56.323499999999996</v>
      </c>
      <c r="M10" s="8">
        <f t="shared" si="3"/>
        <v>95.22899999999998</v>
      </c>
      <c r="N10" s="8">
        <f t="shared" si="4"/>
        <v>79.85749999999999</v>
      </c>
      <c r="O10" s="8">
        <f t="shared" si="5"/>
        <v>40.47232499999999</v>
      </c>
      <c r="P10" s="8"/>
      <c r="Q10" s="8">
        <f t="shared" si="6"/>
        <v>26.400000000000002</v>
      </c>
      <c r="R10" s="8">
        <f t="shared" si="7"/>
        <v>11448.93492</v>
      </c>
      <c r="S10" s="8">
        <f>((R10-9000)*10%-((R10-9000)*10%)*1.5%)/12</f>
        <v>20.101674135</v>
      </c>
      <c r="T10" s="23">
        <f t="shared" si="8"/>
        <v>933.9762358649999</v>
      </c>
    </row>
    <row r="11" spans="1:20" ht="19.5" customHeight="1">
      <c r="A11" s="25" t="s">
        <v>25</v>
      </c>
      <c r="B11" s="2" t="s">
        <v>34</v>
      </c>
      <c r="C11" s="2"/>
      <c r="D11" s="37">
        <v>1381</v>
      </c>
      <c r="E11" s="18">
        <v>1185</v>
      </c>
      <c r="F11" s="12">
        <v>288.14</v>
      </c>
      <c r="G11" s="14">
        <v>50</v>
      </c>
      <c r="H11" s="6">
        <v>70</v>
      </c>
      <c r="I11" s="6">
        <v>85.01</v>
      </c>
      <c r="J11" s="12">
        <f t="shared" si="0"/>
        <v>48.8445</v>
      </c>
      <c r="K11" s="8">
        <f t="shared" si="1"/>
        <v>117.98896499999998</v>
      </c>
      <c r="L11" s="8">
        <f t="shared" si="2"/>
        <v>57.963499999999996</v>
      </c>
      <c r="M11" s="8">
        <f t="shared" si="3"/>
        <v>97.689</v>
      </c>
      <c r="N11" s="8">
        <f t="shared" si="4"/>
        <v>81.90749999999998</v>
      </c>
      <c r="O11" s="8">
        <f t="shared" si="5"/>
        <v>41.517824999999995</v>
      </c>
      <c r="P11" s="8"/>
      <c r="Q11" s="8">
        <f t="shared" si="6"/>
        <v>29.02</v>
      </c>
      <c r="R11" s="8">
        <f t="shared" si="7"/>
        <v>12885.092519999998</v>
      </c>
      <c r="S11" s="8">
        <f aca="true" t="shared" si="9" ref="S11:S16">((R11-12000)*18%+300-((R11-12000)*18%+300)*1.5%)/12</f>
        <v>37.70224198299997</v>
      </c>
      <c r="T11" s="23">
        <f t="shared" si="8"/>
        <v>1036.0554680169998</v>
      </c>
    </row>
    <row r="12" spans="1:20" ht="19.5" customHeight="1">
      <c r="A12" s="25" t="s">
        <v>26</v>
      </c>
      <c r="B12" s="2" t="s">
        <v>34</v>
      </c>
      <c r="C12" s="2">
        <v>1</v>
      </c>
      <c r="D12" s="37">
        <v>1409</v>
      </c>
      <c r="E12" s="18">
        <v>1224</v>
      </c>
      <c r="F12" s="12">
        <v>288.14</v>
      </c>
      <c r="G12" s="14">
        <v>50</v>
      </c>
      <c r="H12" s="6">
        <v>70</v>
      </c>
      <c r="I12" s="6">
        <v>85.01</v>
      </c>
      <c r="J12" s="12">
        <f t="shared" si="0"/>
        <v>50.01449999999999</v>
      </c>
      <c r="K12" s="8">
        <f t="shared" si="1"/>
        <v>120.59026499999997</v>
      </c>
      <c r="L12" s="8">
        <f t="shared" si="2"/>
        <v>59.5235</v>
      </c>
      <c r="M12" s="8">
        <f t="shared" si="3"/>
        <v>100.02899999999998</v>
      </c>
      <c r="N12" s="8">
        <f t="shared" si="4"/>
        <v>83.85749999999999</v>
      </c>
      <c r="O12" s="8">
        <f t="shared" si="5"/>
        <v>42.512325</v>
      </c>
      <c r="P12" s="8"/>
      <c r="Q12" s="8">
        <f t="shared" si="6"/>
        <v>29.580000000000002</v>
      </c>
      <c r="R12" s="8">
        <f t="shared" si="7"/>
        <v>13115.06292</v>
      </c>
      <c r="S12" s="8">
        <f t="shared" si="9"/>
        <v>41.100054643</v>
      </c>
      <c r="T12" s="23">
        <f t="shared" si="8"/>
        <v>1051.821855357</v>
      </c>
    </row>
    <row r="13" spans="1:20" ht="19.5" customHeight="1">
      <c r="A13" s="25" t="s">
        <v>27</v>
      </c>
      <c r="B13" s="2" t="s">
        <v>34</v>
      </c>
      <c r="C13" s="2">
        <v>2</v>
      </c>
      <c r="D13" s="37">
        <v>1437</v>
      </c>
      <c r="E13" s="18">
        <v>1264</v>
      </c>
      <c r="F13" s="12">
        <v>288.14</v>
      </c>
      <c r="G13" s="14">
        <v>50</v>
      </c>
      <c r="H13" s="6">
        <v>70</v>
      </c>
      <c r="I13" s="6">
        <v>85.01</v>
      </c>
      <c r="J13" s="12">
        <f t="shared" si="0"/>
        <v>51.214499999999994</v>
      </c>
      <c r="K13" s="8">
        <f t="shared" si="1"/>
        <v>123.25826499999998</v>
      </c>
      <c r="L13" s="8">
        <f t="shared" si="2"/>
        <v>61.1235</v>
      </c>
      <c r="M13" s="8">
        <f t="shared" si="3"/>
        <v>102.42899999999999</v>
      </c>
      <c r="N13" s="8">
        <f t="shared" si="4"/>
        <v>85.8575</v>
      </c>
      <c r="O13" s="8">
        <f t="shared" si="5"/>
        <v>43.53232499999999</v>
      </c>
      <c r="P13" s="8"/>
      <c r="Q13" s="8">
        <f t="shared" si="6"/>
        <v>30.14</v>
      </c>
      <c r="R13" s="8">
        <f t="shared" si="7"/>
        <v>13342.48692</v>
      </c>
      <c r="S13" s="8">
        <f t="shared" si="9"/>
        <v>44.460244243</v>
      </c>
      <c r="T13" s="23">
        <f t="shared" si="8"/>
        <v>1067.413665757</v>
      </c>
    </row>
    <row r="14" spans="1:20" ht="19.5" customHeight="1">
      <c r="A14" s="25" t="s">
        <v>28</v>
      </c>
      <c r="B14" s="2" t="s">
        <v>30</v>
      </c>
      <c r="C14" s="2"/>
      <c r="D14" s="37">
        <v>1588</v>
      </c>
      <c r="E14" s="18">
        <v>1305</v>
      </c>
      <c r="F14" s="12">
        <v>288.14</v>
      </c>
      <c r="G14" s="14">
        <v>50</v>
      </c>
      <c r="H14" s="6">
        <v>70</v>
      </c>
      <c r="I14" s="6">
        <v>85.01</v>
      </c>
      <c r="J14" s="12">
        <f t="shared" si="0"/>
        <v>52.44449999999999</v>
      </c>
      <c r="K14" s="8">
        <f t="shared" si="1"/>
        <v>125.99296499999998</v>
      </c>
      <c r="L14" s="8">
        <f t="shared" si="2"/>
        <v>62.7635</v>
      </c>
      <c r="M14" s="8">
        <f t="shared" si="3"/>
        <v>104.88899999999998</v>
      </c>
      <c r="N14" s="8">
        <f t="shared" si="4"/>
        <v>87.9075</v>
      </c>
      <c r="O14" s="8">
        <f t="shared" si="5"/>
        <v>44.577825</v>
      </c>
      <c r="P14" s="8"/>
      <c r="Q14" s="8">
        <f t="shared" si="6"/>
        <v>33.160000000000004</v>
      </c>
      <c r="R14" s="8">
        <f t="shared" si="7"/>
        <v>15013.84452</v>
      </c>
      <c r="S14" s="8">
        <f t="shared" si="9"/>
        <v>69.154552783</v>
      </c>
      <c r="T14" s="23">
        <f t="shared" si="8"/>
        <v>1181.999157217</v>
      </c>
    </row>
    <row r="15" spans="1:20" ht="19.5" customHeight="1">
      <c r="A15" s="34" t="s">
        <v>29</v>
      </c>
      <c r="B15" s="2" t="s">
        <v>30</v>
      </c>
      <c r="C15" s="2">
        <v>1</v>
      </c>
      <c r="D15" s="37">
        <v>1620</v>
      </c>
      <c r="E15" s="26">
        <v>1345</v>
      </c>
      <c r="F15" s="12">
        <v>288.14</v>
      </c>
      <c r="G15" s="14">
        <v>50</v>
      </c>
      <c r="H15" s="6">
        <v>70</v>
      </c>
      <c r="I15" s="6">
        <v>85.01</v>
      </c>
      <c r="J15" s="12">
        <f t="shared" si="0"/>
        <v>53.644499999999994</v>
      </c>
      <c r="K15" s="8">
        <f t="shared" si="1"/>
        <v>128.66096499999998</v>
      </c>
      <c r="L15" s="8">
        <f t="shared" si="2"/>
        <v>64.3635</v>
      </c>
      <c r="M15" s="8">
        <f t="shared" si="3"/>
        <v>107.28899999999999</v>
      </c>
      <c r="N15" s="8">
        <f t="shared" si="4"/>
        <v>89.9075</v>
      </c>
      <c r="O15" s="8">
        <f t="shared" si="5"/>
        <v>45.59782499999999</v>
      </c>
      <c r="P15" s="35"/>
      <c r="Q15" s="8">
        <f t="shared" si="6"/>
        <v>33.8</v>
      </c>
      <c r="R15" s="8">
        <f t="shared" si="7"/>
        <v>15288.308519999999</v>
      </c>
      <c r="S15" s="8">
        <f t="shared" si="9"/>
        <v>73.20975838299998</v>
      </c>
      <c r="T15" s="23">
        <f t="shared" si="8"/>
        <v>1200.8159516169999</v>
      </c>
    </row>
    <row r="16" spans="1:20" ht="19.5" customHeight="1">
      <c r="A16" s="26" t="s">
        <v>45</v>
      </c>
      <c r="B16" s="26" t="s">
        <v>30</v>
      </c>
      <c r="C16" s="26">
        <v>2</v>
      </c>
      <c r="D16" s="38">
        <v>1652</v>
      </c>
      <c r="E16" s="26">
        <v>1385</v>
      </c>
      <c r="F16" s="12">
        <v>288.14</v>
      </c>
      <c r="G16" s="14">
        <v>50</v>
      </c>
      <c r="H16" s="6">
        <v>70</v>
      </c>
      <c r="I16" s="6">
        <v>85.01</v>
      </c>
      <c r="J16" s="12">
        <f t="shared" si="0"/>
        <v>54.8445</v>
      </c>
      <c r="K16" s="8">
        <f t="shared" si="1"/>
        <v>131.32896499999998</v>
      </c>
      <c r="L16" s="8">
        <f t="shared" si="2"/>
        <v>65.9635</v>
      </c>
      <c r="M16" s="8">
        <f t="shared" si="3"/>
        <v>109.689</v>
      </c>
      <c r="N16" s="8">
        <f t="shared" si="4"/>
        <v>91.90749999999998</v>
      </c>
      <c r="O16" s="8">
        <f t="shared" si="5"/>
        <v>46.617824999999996</v>
      </c>
      <c r="P16" s="35"/>
      <c r="Q16" s="8">
        <f t="shared" si="6"/>
        <v>34.44</v>
      </c>
      <c r="R16" s="8">
        <f t="shared" si="7"/>
        <v>15562.772519999997</v>
      </c>
      <c r="S16" s="8">
        <f t="shared" si="9"/>
        <v>77.26496398299996</v>
      </c>
      <c r="T16" s="23">
        <f t="shared" si="8"/>
        <v>1219.6327460169998</v>
      </c>
    </row>
    <row r="18" spans="1:20" ht="12.75">
      <c r="A18" s="53" t="s">
        <v>50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</row>
    <row r="19" spans="1:20" ht="12.75">
      <c r="A19" s="51" t="s">
        <v>70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</row>
    <row r="20" spans="1:20" ht="12.75">
      <c r="A20" s="48" t="s">
        <v>56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</row>
    <row r="21" spans="1:20" ht="12.75">
      <c r="A21" s="49" t="s">
        <v>57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</row>
    <row r="22" spans="1:20" ht="12.75">
      <c r="A22" s="46" t="s">
        <v>58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</row>
    <row r="23" spans="1:20" ht="12.75">
      <c r="A23" s="46" t="s">
        <v>59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</row>
    <row r="24" spans="4:18" ht="12.75">
      <c r="D24" s="20"/>
      <c r="I24" s="4"/>
      <c r="P24" t="s">
        <v>51</v>
      </c>
      <c r="R24" s="21"/>
    </row>
    <row r="25" spans="15:17" ht="12.75">
      <c r="O25" s="47" t="s">
        <v>73</v>
      </c>
      <c r="P25" s="47"/>
      <c r="Q25" s="47"/>
    </row>
  </sheetData>
  <sheetProtection/>
  <mergeCells count="10">
    <mergeCell ref="A22:T22"/>
    <mergeCell ref="A23:T23"/>
    <mergeCell ref="A2:S2"/>
    <mergeCell ref="O25:Q25"/>
    <mergeCell ref="A20:T20"/>
    <mergeCell ref="A3:T3"/>
    <mergeCell ref="A18:T18"/>
    <mergeCell ref="A19:T19"/>
    <mergeCell ref="K4:S4"/>
    <mergeCell ref="A21:T21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2"/>
  <sheetViews>
    <sheetView workbookViewId="0" topLeftCell="A1">
      <selection activeCell="D5" sqref="D5"/>
    </sheetView>
  </sheetViews>
  <sheetFormatPr defaultColWidth="9.00390625" defaultRowHeight="12.75"/>
  <cols>
    <col min="1" max="1" width="6.00390625" style="1" customWidth="1"/>
    <col min="2" max="2" width="5.75390625" style="1" customWidth="1"/>
    <col min="3" max="3" width="4.625" style="1" customWidth="1"/>
    <col min="4" max="4" width="10.00390625" style="1" customWidth="1"/>
    <col min="5" max="5" width="10.125" style="19" customWidth="1"/>
    <col min="6" max="6" width="7.875" style="9" hidden="1" customWidth="1"/>
    <col min="7" max="7" width="7.625" style="15" hidden="1" customWidth="1"/>
    <col min="8" max="8" width="6.375" style="9" customWidth="1"/>
    <col min="9" max="9" width="9.625" style="9" hidden="1" customWidth="1"/>
    <col min="10" max="10" width="8.875" style="9" customWidth="1"/>
    <col min="11" max="11" width="7.25390625" style="7" customWidth="1"/>
    <col min="12" max="12" width="6.875" style="7" customWidth="1"/>
    <col min="13" max="13" width="7.375" style="7" customWidth="1"/>
    <col min="14" max="14" width="7.00390625" style="7" customWidth="1"/>
    <col min="15" max="15" width="6.875" style="7" customWidth="1"/>
    <col min="16" max="16" width="10.75390625" style="7" customWidth="1"/>
    <col min="17" max="17" width="10.00390625" style="7" customWidth="1"/>
    <col min="18" max="18" width="14.00390625" style="7" hidden="1" customWidth="1"/>
    <col min="19" max="19" width="8.875" style="7" customWidth="1"/>
    <col min="20" max="20" width="11.375" style="7" customWidth="1"/>
    <col min="21" max="21" width="11.00390625" style="4" customWidth="1"/>
    <col min="22" max="22" width="10.375" style="0" customWidth="1"/>
  </cols>
  <sheetData>
    <row r="1" ht="54.75" customHeight="1">
      <c r="K1"/>
    </row>
    <row r="2" spans="1:20" ht="15.75">
      <c r="A2" s="58" t="s">
        <v>68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19" ht="12.75">
      <c r="A3" s="50" t="s">
        <v>55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</row>
    <row r="4" spans="5:19" ht="12.75">
      <c r="E4" s="1"/>
      <c r="F4" s="1"/>
      <c r="G4" s="1"/>
      <c r="H4" s="1"/>
      <c r="I4" s="1"/>
      <c r="J4" s="1"/>
      <c r="K4" s="52" t="s">
        <v>49</v>
      </c>
      <c r="L4" s="52"/>
      <c r="M4" s="52"/>
      <c r="N4" s="52"/>
      <c r="O4" s="52"/>
      <c r="P4" s="52"/>
      <c r="Q4" s="52"/>
      <c r="R4" s="52"/>
      <c r="S4" s="52"/>
    </row>
    <row r="5" spans="1:25" ht="47.25" customHeight="1">
      <c r="A5" s="40" t="s">
        <v>0</v>
      </c>
      <c r="B5" s="40" t="s">
        <v>39</v>
      </c>
      <c r="C5" s="40" t="s">
        <v>66</v>
      </c>
      <c r="D5" s="40" t="s">
        <v>54</v>
      </c>
      <c r="E5" s="41" t="s">
        <v>53</v>
      </c>
      <c r="F5" s="42" t="s">
        <v>18</v>
      </c>
      <c r="G5" s="43" t="s">
        <v>8</v>
      </c>
      <c r="H5" s="40" t="s">
        <v>14</v>
      </c>
      <c r="I5" s="40" t="s">
        <v>19</v>
      </c>
      <c r="J5" s="40" t="s">
        <v>20</v>
      </c>
      <c r="K5" s="42" t="s">
        <v>15</v>
      </c>
      <c r="L5" s="42" t="s">
        <v>9</v>
      </c>
      <c r="M5" s="42" t="s">
        <v>10</v>
      </c>
      <c r="N5" s="42" t="s">
        <v>11</v>
      </c>
      <c r="O5" s="42" t="s">
        <v>13</v>
      </c>
      <c r="P5" s="42" t="s">
        <v>48</v>
      </c>
      <c r="Q5" s="42" t="s">
        <v>44</v>
      </c>
      <c r="R5" s="42" t="s">
        <v>17</v>
      </c>
      <c r="S5" s="42" t="s">
        <v>12</v>
      </c>
      <c r="T5" s="42" t="s">
        <v>16</v>
      </c>
      <c r="U5" s="5"/>
      <c r="V5" s="3"/>
      <c r="W5" s="3"/>
      <c r="X5" s="3"/>
      <c r="Y5" s="3"/>
    </row>
    <row r="6" spans="1:24" ht="19.5" customHeight="1" hidden="1">
      <c r="A6" s="2">
        <v>0</v>
      </c>
      <c r="B6" s="2">
        <v>18</v>
      </c>
      <c r="C6" s="2"/>
      <c r="D6" s="2"/>
      <c r="E6" s="18">
        <v>985</v>
      </c>
      <c r="F6" s="12">
        <v>288.14</v>
      </c>
      <c r="G6" s="14">
        <v>100</v>
      </c>
      <c r="H6" s="6">
        <v>0</v>
      </c>
      <c r="I6" s="6">
        <v>85.01</v>
      </c>
      <c r="J6" s="6">
        <f>E6*3%</f>
        <v>29.549999999999997</v>
      </c>
      <c r="K6" s="8">
        <f>(E6+140.8)*6.67%</f>
        <v>75.09085999999999</v>
      </c>
      <c r="L6" s="8">
        <f>(E6+140.8)*4%+(F6+G6+H6+I6)*1%</f>
        <v>49.76349999999999</v>
      </c>
      <c r="M6" s="8">
        <f>(E6)*3%+(F6+H6+I6)*2%+J6</f>
        <v>66.56299999999999</v>
      </c>
      <c r="N6" s="8">
        <f>(E6)*4%</f>
        <v>39.4</v>
      </c>
      <c r="O6" s="8">
        <f>(E6+F6+H6+I6)*2.55%</f>
        <v>34.632825</v>
      </c>
      <c r="P6" s="8">
        <f>(E6+F6+I6)/12+(E6/2)/24</f>
        <v>133.7</v>
      </c>
      <c r="Q6" s="8"/>
      <c r="R6" s="24">
        <f>(E6+F6+G6+H6+I6+J6-K6-L6-M6-N6-O6-P6)*12+(E6-(E6*30%)-(E6-(E6*30%)+140.8)*6.67%-(E6-(E6*30%))*4%)*2</f>
        <v>14275.675759999998</v>
      </c>
      <c r="S6" s="8">
        <f>((R6-12000)*18%-((R6-12000)*18%)*1.5%)/14</f>
        <v>28.819808017714262</v>
      </c>
      <c r="T6" s="16">
        <f>E6+F6+G6+H6+I6+J6-K6-L6-M6-N6-O6-P6-S6</f>
        <v>1059.7300069822857</v>
      </c>
      <c r="V6" s="4"/>
      <c r="X6" s="4"/>
    </row>
    <row r="7" spans="1:22" ht="19.5" customHeight="1" hidden="1">
      <c r="A7" s="2" t="s">
        <v>1</v>
      </c>
      <c r="B7" s="2">
        <v>17</v>
      </c>
      <c r="C7" s="2"/>
      <c r="D7" s="2"/>
      <c r="E7" s="18">
        <v>1025</v>
      </c>
      <c r="F7" s="12">
        <v>288.14</v>
      </c>
      <c r="G7" s="14">
        <v>100</v>
      </c>
      <c r="H7" s="6">
        <v>0</v>
      </c>
      <c r="I7" s="6">
        <v>85.01</v>
      </c>
      <c r="J7" s="6">
        <f aca="true" t="shared" si="0" ref="J7:J30">E7*3%</f>
        <v>30.75</v>
      </c>
      <c r="K7" s="8">
        <f aca="true" t="shared" si="1" ref="K7:K30">(E7+140.8)*6.67%</f>
        <v>77.75886</v>
      </c>
      <c r="L7" s="8">
        <f>(E7+140.8)*4%+(F7+G7+H7+I7)*1%</f>
        <v>51.363499999999995</v>
      </c>
      <c r="M7" s="8">
        <f aca="true" t="shared" si="2" ref="M7:M30">(E7)*3%+(F7+H7+I7)*2%+J7</f>
        <v>68.963</v>
      </c>
      <c r="N7" s="8">
        <f>(E7)*4%</f>
        <v>41</v>
      </c>
      <c r="O7" s="8">
        <f aca="true" t="shared" si="3" ref="O7:O30">(E7+F7+H7+I7)*2.55%</f>
        <v>35.65282499999999</v>
      </c>
      <c r="P7" s="8">
        <f>(E6/2)/24</f>
        <v>20.520833333333332</v>
      </c>
      <c r="Q7" s="8"/>
      <c r="R7" s="24">
        <f>(E7+F7+G7+H7+I7+J7-K7-L7-M7-N7-O7-P7)*12+(E7-(E7*30%)-(E7-(E7*30%)+140.8)*6.67%-(E7-(E7*30%))*4%)*2</f>
        <v>16066.794560000002</v>
      </c>
      <c r="S7" s="8">
        <f>((R7-16000)*24%+720-((R7-16000)*24%+720)*1.5%)/14</f>
        <v>51.785016713142895</v>
      </c>
      <c r="T7" s="16">
        <f>E7+F7+G7+H7+I7+J7-K7-L7-M7-N7-O7-P7-S7</f>
        <v>1181.855964953524</v>
      </c>
      <c r="V7" s="4"/>
    </row>
    <row r="8" spans="1:22" ht="19.5" customHeight="1" hidden="1">
      <c r="A8" s="2" t="s">
        <v>2</v>
      </c>
      <c r="B8" s="2">
        <v>16</v>
      </c>
      <c r="C8" s="2"/>
      <c r="D8" s="2"/>
      <c r="E8" s="18">
        <v>1064</v>
      </c>
      <c r="F8" s="12">
        <v>288.14</v>
      </c>
      <c r="G8" s="14">
        <v>100</v>
      </c>
      <c r="H8" s="6">
        <v>0</v>
      </c>
      <c r="I8" s="6">
        <v>85.01</v>
      </c>
      <c r="J8" s="6">
        <f t="shared" si="0"/>
        <v>31.919999999999998</v>
      </c>
      <c r="K8" s="8">
        <f t="shared" si="1"/>
        <v>80.36016</v>
      </c>
      <c r="L8" s="8">
        <f>(E8+140.8)*4%+(F8+G8+H8+I8)*1%</f>
        <v>52.9235</v>
      </c>
      <c r="M8" s="8">
        <f t="shared" si="2"/>
        <v>71.303</v>
      </c>
      <c r="N8" s="8">
        <f>(E8)*4%</f>
        <v>42.56</v>
      </c>
      <c r="O8" s="8">
        <f t="shared" si="3"/>
        <v>36.647324999999995</v>
      </c>
      <c r="P8" s="8"/>
      <c r="Q8" s="8"/>
      <c r="R8" s="24">
        <f>(E8+F8+G8+H8+I8+J8-K8-L8-M8-N8-O8-P8)*12+(E8-(E8*30%)-(E8-(E8*30%)+140.8)*6.67%-(E8-(E8*30%))*4%)*2</f>
        <v>16735.18914</v>
      </c>
      <c r="S8" s="8">
        <f>((R8-16000)*24%+720-((R8-16000)*24%+720)*1.5%)/14</f>
        <v>63.071336621142834</v>
      </c>
      <c r="T8" s="16">
        <f>E8+F8+G8+H8+I8+J8-K8-L8-M8-N8-O8-P8-S8</f>
        <v>1222.2046783788571</v>
      </c>
      <c r="V8" s="4"/>
    </row>
    <row r="9" spans="1:22" ht="19.5" customHeight="1" hidden="1">
      <c r="A9" s="2" t="s">
        <v>3</v>
      </c>
      <c r="B9" s="2">
        <v>15</v>
      </c>
      <c r="C9" s="2"/>
      <c r="D9" s="2"/>
      <c r="E9" s="18">
        <v>1104</v>
      </c>
      <c r="F9" s="12">
        <v>288.14</v>
      </c>
      <c r="G9" s="14">
        <v>100</v>
      </c>
      <c r="H9" s="6">
        <v>0</v>
      </c>
      <c r="I9" s="6">
        <v>85.01</v>
      </c>
      <c r="J9" s="6">
        <f t="shared" si="0"/>
        <v>33.12</v>
      </c>
      <c r="K9" s="8">
        <f t="shared" si="1"/>
        <v>83.02815999999999</v>
      </c>
      <c r="L9" s="8">
        <f>(E9+140.8)*4%+(F9+G9+H9+I9)*1%</f>
        <v>54.5235</v>
      </c>
      <c r="M9" s="8">
        <f t="shared" si="2"/>
        <v>73.703</v>
      </c>
      <c r="N9" s="8">
        <f>(E9)*4%</f>
        <v>44.160000000000004</v>
      </c>
      <c r="O9" s="8">
        <f t="shared" si="3"/>
        <v>37.66732499999999</v>
      </c>
      <c r="P9" s="8"/>
      <c r="Q9" s="8"/>
      <c r="R9" s="24">
        <f>(E9+F9+G9+H9+I9+J9-K9-L9-M9-N9-O9-P9)*12+(E9-(E9*30%)-(E9-(E9*30%)+140.8)*6.67%-(E9-(E9*30%))*4%)*2</f>
        <v>17168.157939999997</v>
      </c>
      <c r="S9" s="8">
        <f>((R9-16000)*24%+720-((R9-16000)*24%+720)*1.5%)/14</f>
        <v>70.3823240725714</v>
      </c>
      <c r="T9" s="16">
        <f>E9+F9+G9+H9+I9+J9-K9-L9-M9-N9-O9-P9-S9</f>
        <v>1246.8056909274283</v>
      </c>
      <c r="V9" s="4"/>
    </row>
    <row r="10" spans="1:22" ht="19.5" customHeight="1" hidden="1">
      <c r="A10" s="2" t="s">
        <v>4</v>
      </c>
      <c r="B10" s="2">
        <v>14</v>
      </c>
      <c r="C10" s="2"/>
      <c r="D10" s="2"/>
      <c r="E10" s="18">
        <v>1144</v>
      </c>
      <c r="F10" s="12">
        <v>288.14</v>
      </c>
      <c r="G10" s="14">
        <v>100</v>
      </c>
      <c r="H10" s="6">
        <v>0</v>
      </c>
      <c r="I10" s="6">
        <v>85.01</v>
      </c>
      <c r="J10" s="6">
        <f t="shared" si="0"/>
        <v>34.32</v>
      </c>
      <c r="K10" s="8">
        <f t="shared" si="1"/>
        <v>85.69615999999999</v>
      </c>
      <c r="L10" s="8">
        <f>(E10+140.8)*4%+(F10+G10+H10+I10)*1%</f>
        <v>56.12349999999999</v>
      </c>
      <c r="M10" s="8">
        <f t="shared" si="2"/>
        <v>76.10300000000001</v>
      </c>
      <c r="N10" s="8">
        <f>(E10)*4%</f>
        <v>45.76</v>
      </c>
      <c r="O10" s="8">
        <f t="shared" si="3"/>
        <v>38.687324999999994</v>
      </c>
      <c r="P10" s="8"/>
      <c r="Q10" s="8"/>
      <c r="R10" s="24">
        <f>(E10+F10+G10+H10+I10+J10-K10-L10-M10-N10-O10-P10)*12+(E10-(E10*30%)-(E10-(E10*30%)+140.8)*6.67%-(E10-(E10*30%))*4%)*2</f>
        <v>17601.126739999996</v>
      </c>
      <c r="S10" s="8">
        <f>((R10-16000)*24%+720-((R10-16000)*24%+720)*1.5%)/14</f>
        <v>77.69331152399994</v>
      </c>
      <c r="T10" s="16">
        <f>E10+F10+G10+H10+I10+J10-K10-L10-M10-N10-O10-P10-S10</f>
        <v>1271.4067034759998</v>
      </c>
      <c r="V10" s="4"/>
    </row>
    <row r="11" spans="1:22" ht="13.5" customHeight="1">
      <c r="A11" s="2">
        <v>1</v>
      </c>
      <c r="B11" s="2" t="s">
        <v>32</v>
      </c>
      <c r="C11" s="2"/>
      <c r="D11" s="37">
        <v>1092</v>
      </c>
      <c r="E11" s="18">
        <v>985</v>
      </c>
      <c r="F11" s="12">
        <v>288.14</v>
      </c>
      <c r="G11" s="14">
        <v>50</v>
      </c>
      <c r="H11" s="6">
        <v>0</v>
      </c>
      <c r="I11" s="6">
        <v>85.01</v>
      </c>
      <c r="J11" s="6">
        <f t="shared" si="0"/>
        <v>29.549999999999997</v>
      </c>
      <c r="K11" s="8">
        <f t="shared" si="1"/>
        <v>75.09085999999999</v>
      </c>
      <c r="L11" s="8">
        <f aca="true" t="shared" si="4" ref="L11:L20">(E11+140.8)*4%+(F11+G11+H11+I11)*1%</f>
        <v>49.26349999999999</v>
      </c>
      <c r="M11" s="8">
        <f t="shared" si="2"/>
        <v>66.56299999999999</v>
      </c>
      <c r="N11" s="8">
        <f aca="true" t="shared" si="5" ref="N11:N19">(E11)*4%+(E11+F11+G11+H11+I11)*1%</f>
        <v>53.4815</v>
      </c>
      <c r="O11" s="8">
        <f t="shared" si="3"/>
        <v>34.632825</v>
      </c>
      <c r="P11" s="8">
        <f aca="true" t="shared" si="6" ref="P11:P19">(D11+H11)*2%</f>
        <v>21.84</v>
      </c>
      <c r="Q11" s="8">
        <f>(D11+H11)/12+((D11+H11)/2)/24</f>
        <v>113.75</v>
      </c>
      <c r="R11" s="24">
        <f>(D11+H11+J11-K11-L11-M11-N11-O11-P11-Q11)*12</f>
        <v>8483.139779999998</v>
      </c>
      <c r="S11" s="8">
        <f>((R11-5000)*10%+((R11-5000)*10%)*1.5%)/12</f>
        <v>29.461557305833313</v>
      </c>
      <c r="T11" s="27">
        <f>D11+H11+J11-K11-L11-M11-N11-O11-P11-Q11-S11</f>
        <v>677.4667576941665</v>
      </c>
      <c r="V11" s="4"/>
    </row>
    <row r="12" spans="1:22" ht="13.5" customHeight="1">
      <c r="A12" s="2">
        <v>2</v>
      </c>
      <c r="B12" s="2" t="s">
        <v>32</v>
      </c>
      <c r="C12" s="2"/>
      <c r="D12" s="37">
        <v>1092</v>
      </c>
      <c r="E12" s="18">
        <v>1025</v>
      </c>
      <c r="F12" s="12">
        <v>288.14</v>
      </c>
      <c r="G12" s="14">
        <v>50</v>
      </c>
      <c r="H12" s="6">
        <v>0</v>
      </c>
      <c r="I12" s="6">
        <v>85.01</v>
      </c>
      <c r="J12" s="6">
        <f t="shared" si="0"/>
        <v>30.75</v>
      </c>
      <c r="K12" s="8">
        <f t="shared" si="1"/>
        <v>77.75886</v>
      </c>
      <c r="L12" s="8">
        <f t="shared" si="4"/>
        <v>50.863499999999995</v>
      </c>
      <c r="M12" s="8">
        <f t="shared" si="2"/>
        <v>68.963</v>
      </c>
      <c r="N12" s="8">
        <f t="shared" si="5"/>
        <v>55.4815</v>
      </c>
      <c r="O12" s="8">
        <f t="shared" si="3"/>
        <v>35.65282499999999</v>
      </c>
      <c r="P12" s="8">
        <f t="shared" si="6"/>
        <v>21.84</v>
      </c>
      <c r="Q12" s="8">
        <f>((D11+H11)/2)/24</f>
        <v>22.75</v>
      </c>
      <c r="R12" s="24">
        <f aca="true" t="shared" si="7" ref="R12:R30">(D12+H12+J12-K12-L12-M12-N12-O12-P12-Q12)*12</f>
        <v>9473.283780000002</v>
      </c>
      <c r="S12" s="8">
        <f>((R12-5000)*10%+((R12-5000)*10%)*1.5%)/12</f>
        <v>37.83652530583335</v>
      </c>
      <c r="T12" s="27">
        <f aca="true" t="shared" si="8" ref="T12:T30">D12+H12+J12-K12-L12-M12-N12-O12-P12-Q12-S12</f>
        <v>751.6037896941667</v>
      </c>
      <c r="V12" s="4"/>
    </row>
    <row r="13" spans="1:22" ht="13.5" customHeight="1">
      <c r="A13" s="2" t="s">
        <v>2</v>
      </c>
      <c r="B13" s="2" t="s">
        <v>33</v>
      </c>
      <c r="C13" s="2"/>
      <c r="D13" s="37">
        <v>1201</v>
      </c>
      <c r="E13" s="18">
        <v>1064</v>
      </c>
      <c r="F13" s="12">
        <v>288.14</v>
      </c>
      <c r="G13" s="14">
        <v>50</v>
      </c>
      <c r="H13" s="6">
        <v>0</v>
      </c>
      <c r="I13" s="6">
        <v>85.01</v>
      </c>
      <c r="J13" s="6">
        <f t="shared" si="0"/>
        <v>31.919999999999998</v>
      </c>
      <c r="K13" s="8">
        <f t="shared" si="1"/>
        <v>80.36016</v>
      </c>
      <c r="L13" s="8">
        <f t="shared" si="4"/>
        <v>52.4235</v>
      </c>
      <c r="M13" s="8">
        <f t="shared" si="2"/>
        <v>71.303</v>
      </c>
      <c r="N13" s="8">
        <f t="shared" si="5"/>
        <v>57.4315</v>
      </c>
      <c r="O13" s="8">
        <f t="shared" si="3"/>
        <v>36.647324999999995</v>
      </c>
      <c r="P13" s="8">
        <f t="shared" si="6"/>
        <v>24.02</v>
      </c>
      <c r="Q13" s="8"/>
      <c r="R13" s="24">
        <f t="shared" si="7"/>
        <v>10928.814180000001</v>
      </c>
      <c r="S13" s="8">
        <f>((R13-5000)*10%+((R13-5000)*10%)*1.5%)/12</f>
        <v>50.14788660583335</v>
      </c>
      <c r="T13" s="27">
        <f t="shared" si="8"/>
        <v>860.5866283941667</v>
      </c>
      <c r="V13" s="4"/>
    </row>
    <row r="14" spans="1:22" ht="13.5" customHeight="1">
      <c r="A14" s="2" t="s">
        <v>3</v>
      </c>
      <c r="B14" s="2" t="s">
        <v>33</v>
      </c>
      <c r="C14" s="2">
        <v>1</v>
      </c>
      <c r="D14" s="37">
        <v>1225</v>
      </c>
      <c r="E14" s="18">
        <v>1104</v>
      </c>
      <c r="F14" s="12">
        <v>288.14</v>
      </c>
      <c r="G14" s="14">
        <v>50</v>
      </c>
      <c r="H14" s="6">
        <v>0</v>
      </c>
      <c r="I14" s="6">
        <v>85.01</v>
      </c>
      <c r="J14" s="6">
        <f t="shared" si="0"/>
        <v>33.12</v>
      </c>
      <c r="K14" s="8">
        <f t="shared" si="1"/>
        <v>83.02815999999999</v>
      </c>
      <c r="L14" s="8">
        <f t="shared" si="4"/>
        <v>54.0235</v>
      </c>
      <c r="M14" s="8">
        <f t="shared" si="2"/>
        <v>73.703</v>
      </c>
      <c r="N14" s="8">
        <f t="shared" si="5"/>
        <v>59.4315</v>
      </c>
      <c r="O14" s="8">
        <f t="shared" si="3"/>
        <v>37.66732499999999</v>
      </c>
      <c r="P14" s="8">
        <f t="shared" si="6"/>
        <v>24.5</v>
      </c>
      <c r="Q14" s="8"/>
      <c r="R14" s="24">
        <f t="shared" si="7"/>
        <v>11109.198179999998</v>
      </c>
      <c r="S14" s="8">
        <f>((R14-5000)*10%+((R14-5000)*10%)*1.5%)/12</f>
        <v>51.673634605833314</v>
      </c>
      <c r="T14" s="27">
        <f t="shared" si="8"/>
        <v>874.0928803941665</v>
      </c>
      <c r="V14" s="4"/>
    </row>
    <row r="15" spans="1:22" ht="13.5" customHeight="1">
      <c r="A15" s="2" t="s">
        <v>4</v>
      </c>
      <c r="B15" s="2" t="s">
        <v>33</v>
      </c>
      <c r="C15" s="2">
        <v>2</v>
      </c>
      <c r="D15" s="37">
        <v>1250</v>
      </c>
      <c r="E15" s="18">
        <v>1144</v>
      </c>
      <c r="F15" s="12">
        <v>288.14</v>
      </c>
      <c r="G15" s="14">
        <v>50</v>
      </c>
      <c r="H15" s="6">
        <v>0</v>
      </c>
      <c r="I15" s="6">
        <v>85.01</v>
      </c>
      <c r="J15" s="6">
        <f t="shared" si="0"/>
        <v>34.32</v>
      </c>
      <c r="K15" s="8">
        <f t="shared" si="1"/>
        <v>85.69615999999999</v>
      </c>
      <c r="L15" s="8">
        <f t="shared" si="4"/>
        <v>55.62349999999999</v>
      </c>
      <c r="M15" s="8">
        <f t="shared" si="2"/>
        <v>76.10300000000001</v>
      </c>
      <c r="N15" s="8">
        <f t="shared" si="5"/>
        <v>61.4315</v>
      </c>
      <c r="O15" s="8">
        <f t="shared" si="3"/>
        <v>38.687324999999994</v>
      </c>
      <c r="P15" s="8">
        <f t="shared" si="6"/>
        <v>25</v>
      </c>
      <c r="Q15" s="8"/>
      <c r="R15" s="24">
        <f t="shared" si="7"/>
        <v>11301.34218</v>
      </c>
      <c r="S15" s="8">
        <f>((R15-5000)*10%+((R15-5000)*10%)*1.5%)/12</f>
        <v>53.29885260583333</v>
      </c>
      <c r="T15" s="27">
        <f t="shared" si="8"/>
        <v>888.4796623941667</v>
      </c>
      <c r="V15" s="4"/>
    </row>
    <row r="16" spans="1:22" ht="13.5" customHeight="1">
      <c r="A16" s="2" t="s">
        <v>40</v>
      </c>
      <c r="B16" s="2" t="s">
        <v>34</v>
      </c>
      <c r="C16" s="2"/>
      <c r="D16" s="37">
        <v>1381</v>
      </c>
      <c r="E16" s="18">
        <v>1185</v>
      </c>
      <c r="F16" s="12">
        <v>288.14</v>
      </c>
      <c r="G16" s="14">
        <v>50</v>
      </c>
      <c r="H16" s="6">
        <v>0</v>
      </c>
      <c r="I16" s="6">
        <v>85.01</v>
      </c>
      <c r="J16" s="6">
        <f t="shared" si="0"/>
        <v>35.55</v>
      </c>
      <c r="K16" s="8">
        <f t="shared" si="1"/>
        <v>88.43086</v>
      </c>
      <c r="L16" s="8">
        <f t="shared" si="4"/>
        <v>57.26349999999999</v>
      </c>
      <c r="M16" s="8">
        <f t="shared" si="2"/>
        <v>78.56299999999999</v>
      </c>
      <c r="N16" s="8">
        <f t="shared" si="5"/>
        <v>63.4815</v>
      </c>
      <c r="O16" s="8">
        <f t="shared" si="3"/>
        <v>39.73282499999999</v>
      </c>
      <c r="P16" s="8">
        <f t="shared" si="6"/>
        <v>27.62</v>
      </c>
      <c r="Q16" s="8"/>
      <c r="R16" s="24">
        <f t="shared" si="7"/>
        <v>12737.499780000002</v>
      </c>
      <c r="S16" s="8">
        <f aca="true" t="shared" si="9" ref="S16:S21">((R16-12000)*18%+700-((R16-12000)*18%+700)*1.5%)/12</f>
        <v>68.35489258283336</v>
      </c>
      <c r="T16" s="27">
        <f t="shared" si="8"/>
        <v>993.1034224171667</v>
      </c>
      <c r="V16" s="4"/>
    </row>
    <row r="17" spans="1:22" ht="13.5" customHeight="1">
      <c r="A17" s="2" t="s">
        <v>41</v>
      </c>
      <c r="B17" s="2" t="s">
        <v>34</v>
      </c>
      <c r="C17" s="2">
        <v>1</v>
      </c>
      <c r="D17" s="37">
        <v>1409</v>
      </c>
      <c r="E17" s="18">
        <v>1224</v>
      </c>
      <c r="F17" s="12">
        <v>288.14</v>
      </c>
      <c r="G17" s="14">
        <v>50</v>
      </c>
      <c r="H17" s="6">
        <v>0</v>
      </c>
      <c r="I17" s="6">
        <v>85.01</v>
      </c>
      <c r="J17" s="6">
        <f t="shared" si="0"/>
        <v>36.72</v>
      </c>
      <c r="K17" s="8">
        <f t="shared" si="1"/>
        <v>91.03215999999999</v>
      </c>
      <c r="L17" s="8">
        <f t="shared" si="4"/>
        <v>58.823499999999996</v>
      </c>
      <c r="M17" s="8">
        <f t="shared" si="2"/>
        <v>80.90299999999999</v>
      </c>
      <c r="N17" s="8">
        <f t="shared" si="5"/>
        <v>65.4315</v>
      </c>
      <c r="O17" s="8">
        <f t="shared" si="3"/>
        <v>40.72732499999999</v>
      </c>
      <c r="P17" s="8">
        <f t="shared" si="6"/>
        <v>28.18</v>
      </c>
      <c r="Q17" s="8"/>
      <c r="R17" s="24">
        <f t="shared" si="7"/>
        <v>12967.47018</v>
      </c>
      <c r="S17" s="8">
        <f t="shared" si="9"/>
        <v>71.75270524283334</v>
      </c>
      <c r="T17" s="27">
        <f t="shared" si="8"/>
        <v>1008.8698097571666</v>
      </c>
      <c r="V17" s="4"/>
    </row>
    <row r="18" spans="1:22" ht="13.5" customHeight="1">
      <c r="A18" s="2" t="s">
        <v>42</v>
      </c>
      <c r="B18" s="2" t="s">
        <v>34</v>
      </c>
      <c r="C18" s="2">
        <v>2</v>
      </c>
      <c r="D18" s="37">
        <v>1437</v>
      </c>
      <c r="E18" s="18">
        <v>1264</v>
      </c>
      <c r="F18" s="12">
        <v>288.14</v>
      </c>
      <c r="G18" s="14">
        <v>50</v>
      </c>
      <c r="H18" s="6">
        <v>0</v>
      </c>
      <c r="I18" s="6">
        <v>85.01</v>
      </c>
      <c r="J18" s="6">
        <f t="shared" si="0"/>
        <v>37.92</v>
      </c>
      <c r="K18" s="8">
        <f t="shared" si="1"/>
        <v>93.70016</v>
      </c>
      <c r="L18" s="8">
        <f t="shared" si="4"/>
        <v>60.4235</v>
      </c>
      <c r="M18" s="8">
        <f t="shared" si="2"/>
        <v>83.303</v>
      </c>
      <c r="N18" s="8">
        <f t="shared" si="5"/>
        <v>67.4315</v>
      </c>
      <c r="O18" s="8">
        <f t="shared" si="3"/>
        <v>41.747325</v>
      </c>
      <c r="P18" s="8">
        <f t="shared" si="6"/>
        <v>28.740000000000002</v>
      </c>
      <c r="Q18" s="8"/>
      <c r="R18" s="24">
        <f t="shared" si="7"/>
        <v>13194.89418</v>
      </c>
      <c r="S18" s="8">
        <f t="shared" si="9"/>
        <v>75.11289484283333</v>
      </c>
      <c r="T18" s="27">
        <f t="shared" si="8"/>
        <v>1024.4616201571666</v>
      </c>
      <c r="V18" s="4"/>
    </row>
    <row r="19" spans="1:22" ht="13.5" customHeight="1">
      <c r="A19" s="2" t="s">
        <v>43</v>
      </c>
      <c r="B19" s="2" t="s">
        <v>30</v>
      </c>
      <c r="C19" s="2"/>
      <c r="D19" s="37">
        <v>1588</v>
      </c>
      <c r="E19" s="18">
        <v>1305</v>
      </c>
      <c r="F19" s="12">
        <v>288.14</v>
      </c>
      <c r="G19" s="14">
        <v>50</v>
      </c>
      <c r="H19" s="6">
        <v>0</v>
      </c>
      <c r="I19" s="6">
        <v>85.01</v>
      </c>
      <c r="J19" s="6">
        <f t="shared" si="0"/>
        <v>39.15</v>
      </c>
      <c r="K19" s="8">
        <f t="shared" si="1"/>
        <v>96.43485999999999</v>
      </c>
      <c r="L19" s="8">
        <f t="shared" si="4"/>
        <v>62.0635</v>
      </c>
      <c r="M19" s="8">
        <f t="shared" si="2"/>
        <v>85.763</v>
      </c>
      <c r="N19" s="8">
        <f t="shared" si="5"/>
        <v>69.4815</v>
      </c>
      <c r="O19" s="8">
        <f t="shared" si="3"/>
        <v>42.79282499999999</v>
      </c>
      <c r="P19" s="8">
        <f t="shared" si="6"/>
        <v>31.76</v>
      </c>
      <c r="Q19" s="8"/>
      <c r="R19" s="24">
        <f t="shared" si="7"/>
        <v>14866.25178</v>
      </c>
      <c r="S19" s="8">
        <f t="shared" si="9"/>
        <v>99.80720338283334</v>
      </c>
      <c r="T19" s="27">
        <f t="shared" si="8"/>
        <v>1139.0471116171666</v>
      </c>
      <c r="V19" s="4"/>
    </row>
    <row r="20" spans="1:22" ht="13.5" customHeight="1">
      <c r="A20" s="2" t="s">
        <v>5</v>
      </c>
      <c r="B20" s="2" t="s">
        <v>30</v>
      </c>
      <c r="C20" s="2">
        <v>1</v>
      </c>
      <c r="D20" s="37">
        <v>1620</v>
      </c>
      <c r="E20" s="18">
        <v>1345</v>
      </c>
      <c r="F20" s="12">
        <v>288.14</v>
      </c>
      <c r="G20" s="14">
        <v>50</v>
      </c>
      <c r="H20" s="6">
        <v>0</v>
      </c>
      <c r="I20" s="6">
        <v>85.01</v>
      </c>
      <c r="J20" s="6">
        <f t="shared" si="0"/>
        <v>40.35</v>
      </c>
      <c r="K20" s="8">
        <f t="shared" si="1"/>
        <v>99.10285999999999</v>
      </c>
      <c r="L20" s="8">
        <f t="shared" si="4"/>
        <v>63.6635</v>
      </c>
      <c r="M20" s="8">
        <f t="shared" si="2"/>
        <v>88.16300000000001</v>
      </c>
      <c r="N20" s="8">
        <f aca="true" t="shared" si="10" ref="N20:N30">(E20)*4%+(E20+F20+G20+H20+I20)*1%</f>
        <v>71.48150000000001</v>
      </c>
      <c r="O20" s="8">
        <f t="shared" si="3"/>
        <v>43.812825</v>
      </c>
      <c r="P20" s="8">
        <f>(D20+H20)*2%</f>
        <v>32.4</v>
      </c>
      <c r="Q20" s="8"/>
      <c r="R20" s="24">
        <f t="shared" si="7"/>
        <v>15140.715779999995</v>
      </c>
      <c r="S20" s="8">
        <f t="shared" si="9"/>
        <v>103.86240898283326</v>
      </c>
      <c r="T20" s="27">
        <f t="shared" si="8"/>
        <v>1157.8639060171663</v>
      </c>
      <c r="V20" s="4"/>
    </row>
    <row r="21" spans="1:22" ht="13.5" customHeight="1">
      <c r="A21" s="2" t="s">
        <v>6</v>
      </c>
      <c r="B21" s="2" t="s">
        <v>30</v>
      </c>
      <c r="C21" s="2">
        <v>2</v>
      </c>
      <c r="D21" s="37">
        <v>1652</v>
      </c>
      <c r="E21" s="18">
        <v>1385</v>
      </c>
      <c r="F21" s="12">
        <v>288.14</v>
      </c>
      <c r="G21" s="14">
        <v>50</v>
      </c>
      <c r="H21" s="6">
        <v>0</v>
      </c>
      <c r="I21" s="6">
        <v>85.01</v>
      </c>
      <c r="J21" s="6">
        <f t="shared" si="0"/>
        <v>41.55</v>
      </c>
      <c r="K21" s="8">
        <f t="shared" si="1"/>
        <v>101.77085999999998</v>
      </c>
      <c r="L21" s="8">
        <f aca="true" t="shared" si="11" ref="L21:L30">(E21+140.8)*4%+(F21+G21+H21+I21)*1%</f>
        <v>65.2635</v>
      </c>
      <c r="M21" s="8">
        <f t="shared" si="2"/>
        <v>90.56299999999999</v>
      </c>
      <c r="N21" s="8">
        <f t="shared" si="10"/>
        <v>73.4815</v>
      </c>
      <c r="O21" s="8">
        <f t="shared" si="3"/>
        <v>44.83282499999999</v>
      </c>
      <c r="P21" s="8">
        <f aca="true" t="shared" si="12" ref="P21:P30">(D21+H21)*2%</f>
        <v>33.04</v>
      </c>
      <c r="Q21" s="8"/>
      <c r="R21" s="24">
        <f t="shared" si="7"/>
        <v>15415.179779999999</v>
      </c>
      <c r="S21" s="8">
        <f t="shared" si="9"/>
        <v>107.91761458283332</v>
      </c>
      <c r="T21" s="27">
        <f t="shared" si="8"/>
        <v>1176.6807004171667</v>
      </c>
      <c r="V21" s="39"/>
    </row>
    <row r="22" spans="1:22" ht="13.5" customHeight="1">
      <c r="A22" s="2" t="s">
        <v>7</v>
      </c>
      <c r="B22" s="2" t="s">
        <v>31</v>
      </c>
      <c r="C22" s="2"/>
      <c r="D22" s="37">
        <v>1906</v>
      </c>
      <c r="E22" s="18">
        <v>1425</v>
      </c>
      <c r="F22" s="12">
        <v>288.14</v>
      </c>
      <c r="G22" s="14">
        <v>50</v>
      </c>
      <c r="H22" s="6">
        <v>0</v>
      </c>
      <c r="I22" s="6">
        <v>85.01</v>
      </c>
      <c r="J22" s="6">
        <f t="shared" si="0"/>
        <v>42.75</v>
      </c>
      <c r="K22" s="8">
        <f t="shared" si="1"/>
        <v>104.43885999999999</v>
      </c>
      <c r="L22" s="8">
        <f t="shared" si="11"/>
        <v>66.8635</v>
      </c>
      <c r="M22" s="8">
        <f t="shared" si="2"/>
        <v>92.963</v>
      </c>
      <c r="N22" s="8">
        <f t="shared" si="10"/>
        <v>75.4815</v>
      </c>
      <c r="O22" s="8">
        <f t="shared" si="3"/>
        <v>45.852824999999996</v>
      </c>
      <c r="P22" s="8">
        <f t="shared" si="12"/>
        <v>38.12</v>
      </c>
      <c r="Q22" s="8"/>
      <c r="R22" s="24">
        <f t="shared" si="7"/>
        <v>18300.363780000003</v>
      </c>
      <c r="S22" s="8">
        <f aca="true" t="shared" si="13" ref="S22:S30">((R22-16000)*25%+1420-((R22-16000)*25%+1420)*1.5%)/12</f>
        <v>163.76371506875006</v>
      </c>
      <c r="T22" s="27">
        <f t="shared" si="8"/>
        <v>1361.26659993125</v>
      </c>
      <c r="V22" s="4"/>
    </row>
    <row r="23" spans="1:22" ht="13.5" customHeight="1">
      <c r="A23" s="2">
        <v>23</v>
      </c>
      <c r="B23" s="2" t="s">
        <v>31</v>
      </c>
      <c r="C23" s="2"/>
      <c r="D23" s="37">
        <v>1906</v>
      </c>
      <c r="E23" s="18">
        <v>1465</v>
      </c>
      <c r="F23" s="12">
        <v>288.14</v>
      </c>
      <c r="G23" s="14">
        <v>50</v>
      </c>
      <c r="H23" s="6">
        <v>0</v>
      </c>
      <c r="I23" s="6">
        <v>85.01</v>
      </c>
      <c r="J23" s="6">
        <f t="shared" si="0"/>
        <v>43.949999999999996</v>
      </c>
      <c r="K23" s="8">
        <f t="shared" si="1"/>
        <v>107.10685999999998</v>
      </c>
      <c r="L23" s="8">
        <f t="shared" si="11"/>
        <v>68.4635</v>
      </c>
      <c r="M23" s="8">
        <f t="shared" si="2"/>
        <v>95.363</v>
      </c>
      <c r="N23" s="8">
        <f t="shared" si="10"/>
        <v>77.4815</v>
      </c>
      <c r="O23" s="8">
        <f t="shared" si="3"/>
        <v>46.87282499999999</v>
      </c>
      <c r="P23" s="8">
        <f t="shared" si="12"/>
        <v>38.12</v>
      </c>
      <c r="Q23" s="8"/>
      <c r="R23" s="24">
        <f t="shared" si="7"/>
        <v>18198.50778</v>
      </c>
      <c r="S23" s="8">
        <f>((R23-16000)*25%+1420-((R23-16000)*25%+1420)*1.5%)/12</f>
        <v>161.67354506875</v>
      </c>
      <c r="T23" s="27">
        <f t="shared" si="8"/>
        <v>1354.86876993125</v>
      </c>
      <c r="V23" s="4"/>
    </row>
    <row r="24" spans="1:22" ht="13.5" customHeight="1">
      <c r="A24" s="2">
        <v>24</v>
      </c>
      <c r="B24" s="2" t="s">
        <v>31</v>
      </c>
      <c r="C24" s="2">
        <v>1</v>
      </c>
      <c r="D24" s="37">
        <v>1944</v>
      </c>
      <c r="E24" s="18">
        <v>1465</v>
      </c>
      <c r="F24" s="12">
        <v>288.14</v>
      </c>
      <c r="G24" s="14">
        <v>50</v>
      </c>
      <c r="H24" s="6">
        <v>0</v>
      </c>
      <c r="I24" s="6">
        <v>85.01</v>
      </c>
      <c r="J24" s="6">
        <f t="shared" si="0"/>
        <v>43.949999999999996</v>
      </c>
      <c r="K24" s="8">
        <f t="shared" si="1"/>
        <v>107.10685999999998</v>
      </c>
      <c r="L24" s="8">
        <f t="shared" si="11"/>
        <v>68.4635</v>
      </c>
      <c r="M24" s="8">
        <f t="shared" si="2"/>
        <v>95.363</v>
      </c>
      <c r="N24" s="8">
        <f t="shared" si="10"/>
        <v>77.4815</v>
      </c>
      <c r="O24" s="8">
        <f t="shared" si="3"/>
        <v>46.87282499999999</v>
      </c>
      <c r="P24" s="8">
        <f t="shared" si="12"/>
        <v>38.88</v>
      </c>
      <c r="Q24" s="8"/>
      <c r="R24" s="24">
        <f t="shared" si="7"/>
        <v>18645.387779999997</v>
      </c>
      <c r="S24" s="8">
        <f t="shared" si="13"/>
        <v>170.84389506874993</v>
      </c>
      <c r="T24" s="27">
        <f t="shared" si="8"/>
        <v>1382.9384199312499</v>
      </c>
      <c r="V24" s="4"/>
    </row>
    <row r="25" spans="1:22" ht="13.5" customHeight="1">
      <c r="A25" s="2" t="s">
        <v>35</v>
      </c>
      <c r="B25" s="2" t="s">
        <v>31</v>
      </c>
      <c r="C25" s="2">
        <v>1</v>
      </c>
      <c r="D25" s="37">
        <v>1944</v>
      </c>
      <c r="E25" s="18">
        <v>1506</v>
      </c>
      <c r="F25" s="12">
        <v>288.14</v>
      </c>
      <c r="G25" s="14">
        <v>50</v>
      </c>
      <c r="H25" s="6">
        <v>0</v>
      </c>
      <c r="I25" s="6">
        <v>85.01</v>
      </c>
      <c r="J25" s="6">
        <f t="shared" si="0"/>
        <v>45.18</v>
      </c>
      <c r="K25" s="8">
        <f t="shared" si="1"/>
        <v>109.84155999999999</v>
      </c>
      <c r="L25" s="8">
        <f t="shared" si="11"/>
        <v>70.1035</v>
      </c>
      <c r="M25" s="8">
        <f t="shared" si="2"/>
        <v>97.82300000000001</v>
      </c>
      <c r="N25" s="8">
        <f t="shared" si="10"/>
        <v>79.5315</v>
      </c>
      <c r="O25" s="8">
        <f t="shared" si="3"/>
        <v>47.918324999999996</v>
      </c>
      <c r="P25" s="8">
        <f t="shared" si="12"/>
        <v>38.88</v>
      </c>
      <c r="Q25" s="8"/>
      <c r="R25" s="24">
        <f t="shared" si="7"/>
        <v>18540.98538</v>
      </c>
      <c r="S25" s="8">
        <f t="shared" si="13"/>
        <v>168.70147081874998</v>
      </c>
      <c r="T25" s="27">
        <f t="shared" si="8"/>
        <v>1376.3806441812496</v>
      </c>
      <c r="V25" s="4"/>
    </row>
    <row r="26" spans="1:22" ht="13.5" customHeight="1">
      <c r="A26" s="2" t="s">
        <v>36</v>
      </c>
      <c r="B26" s="2" t="s">
        <v>31</v>
      </c>
      <c r="C26" s="2">
        <v>2</v>
      </c>
      <c r="D26" s="37">
        <v>1983</v>
      </c>
      <c r="E26" s="18">
        <v>1546</v>
      </c>
      <c r="F26" s="12">
        <v>288.14</v>
      </c>
      <c r="G26" s="14">
        <v>50</v>
      </c>
      <c r="H26" s="6">
        <v>0</v>
      </c>
      <c r="I26" s="6">
        <v>85.01</v>
      </c>
      <c r="J26" s="6">
        <f t="shared" si="0"/>
        <v>46.379999999999995</v>
      </c>
      <c r="K26" s="8">
        <f t="shared" si="1"/>
        <v>112.50956</v>
      </c>
      <c r="L26" s="8">
        <f t="shared" si="11"/>
        <v>71.70349999999999</v>
      </c>
      <c r="M26" s="8">
        <f t="shared" si="2"/>
        <v>100.22299999999998</v>
      </c>
      <c r="N26" s="8">
        <f t="shared" si="10"/>
        <v>81.5315</v>
      </c>
      <c r="O26" s="8">
        <f t="shared" si="3"/>
        <v>48.93832499999999</v>
      </c>
      <c r="P26" s="8">
        <f t="shared" si="12"/>
        <v>39.660000000000004</v>
      </c>
      <c r="Q26" s="8"/>
      <c r="R26" s="24">
        <f t="shared" si="7"/>
        <v>18897.769379999998</v>
      </c>
      <c r="S26" s="8">
        <f t="shared" si="13"/>
        <v>176.02297581874996</v>
      </c>
      <c r="T26" s="27">
        <f t="shared" si="8"/>
        <v>1398.79113918125</v>
      </c>
      <c r="V26" s="4"/>
    </row>
    <row r="27" spans="1:22" ht="13.5" customHeight="1">
      <c r="A27" s="2">
        <v>29</v>
      </c>
      <c r="B27" s="2" t="s">
        <v>31</v>
      </c>
      <c r="C27" s="2">
        <v>2</v>
      </c>
      <c r="D27" s="37">
        <v>1983</v>
      </c>
      <c r="E27" s="18">
        <v>1585</v>
      </c>
      <c r="F27" s="12">
        <v>288.14</v>
      </c>
      <c r="G27" s="14">
        <v>50</v>
      </c>
      <c r="H27" s="6">
        <v>0</v>
      </c>
      <c r="I27" s="6">
        <v>85.01</v>
      </c>
      <c r="J27" s="6">
        <f t="shared" si="0"/>
        <v>47.55</v>
      </c>
      <c r="K27" s="8">
        <f t="shared" si="1"/>
        <v>115.11085999999999</v>
      </c>
      <c r="L27" s="8">
        <f t="shared" si="11"/>
        <v>73.2635</v>
      </c>
      <c r="M27" s="8">
        <f t="shared" si="2"/>
        <v>102.56299999999999</v>
      </c>
      <c r="N27" s="8">
        <f t="shared" si="10"/>
        <v>83.4815</v>
      </c>
      <c r="O27" s="8">
        <f t="shared" si="3"/>
        <v>49.932824999999994</v>
      </c>
      <c r="P27" s="8">
        <f t="shared" si="12"/>
        <v>39.660000000000004</v>
      </c>
      <c r="Q27" s="8"/>
      <c r="R27" s="24">
        <f t="shared" si="7"/>
        <v>18798.459779999994</v>
      </c>
      <c r="S27" s="8">
        <f t="shared" si="13"/>
        <v>173.98506006874985</v>
      </c>
      <c r="T27" s="27">
        <f t="shared" si="8"/>
        <v>1392.5532549312497</v>
      </c>
      <c r="V27" s="4"/>
    </row>
    <row r="28" spans="1:22" ht="13.5" customHeight="1">
      <c r="A28" s="2">
        <v>30</v>
      </c>
      <c r="B28" s="2" t="s">
        <v>31</v>
      </c>
      <c r="C28" s="2">
        <v>3</v>
      </c>
      <c r="D28" s="37">
        <v>2022</v>
      </c>
      <c r="E28" s="18">
        <v>1585</v>
      </c>
      <c r="F28" s="12">
        <v>288.14</v>
      </c>
      <c r="G28" s="14">
        <v>50</v>
      </c>
      <c r="H28" s="6">
        <v>0</v>
      </c>
      <c r="I28" s="6">
        <v>85.01</v>
      </c>
      <c r="J28" s="6">
        <f t="shared" si="0"/>
        <v>47.55</v>
      </c>
      <c r="K28" s="8">
        <f t="shared" si="1"/>
        <v>115.11085999999999</v>
      </c>
      <c r="L28" s="8">
        <f t="shared" si="11"/>
        <v>73.2635</v>
      </c>
      <c r="M28" s="8">
        <f t="shared" si="2"/>
        <v>102.56299999999999</v>
      </c>
      <c r="N28" s="8">
        <f t="shared" si="10"/>
        <v>83.4815</v>
      </c>
      <c r="O28" s="8">
        <f t="shared" si="3"/>
        <v>49.932824999999994</v>
      </c>
      <c r="P28" s="8">
        <f t="shared" si="12"/>
        <v>40.44</v>
      </c>
      <c r="Q28" s="8"/>
      <c r="R28" s="24">
        <f t="shared" si="7"/>
        <v>19257.09978</v>
      </c>
      <c r="S28" s="8">
        <f t="shared" si="13"/>
        <v>183.39673506875002</v>
      </c>
      <c r="T28" s="27">
        <f t="shared" si="8"/>
        <v>1421.36157993125</v>
      </c>
      <c r="V28" s="4"/>
    </row>
    <row r="29" spans="1:20" ht="13.5" customHeight="1">
      <c r="A29" s="2" t="s">
        <v>37</v>
      </c>
      <c r="B29" s="2" t="s">
        <v>31</v>
      </c>
      <c r="C29" s="2">
        <v>3</v>
      </c>
      <c r="D29" s="37">
        <v>2022</v>
      </c>
      <c r="E29" s="18">
        <v>1626</v>
      </c>
      <c r="F29" s="12">
        <v>288.14</v>
      </c>
      <c r="G29" s="14">
        <v>50</v>
      </c>
      <c r="H29" s="6">
        <v>0</v>
      </c>
      <c r="I29" s="6">
        <v>85.01</v>
      </c>
      <c r="J29" s="26">
        <f t="shared" si="0"/>
        <v>48.78</v>
      </c>
      <c r="K29" s="8">
        <f t="shared" si="1"/>
        <v>117.84555999999999</v>
      </c>
      <c r="L29" s="8">
        <f t="shared" si="11"/>
        <v>74.9035</v>
      </c>
      <c r="M29" s="8">
        <f t="shared" si="2"/>
        <v>105.023</v>
      </c>
      <c r="N29" s="8">
        <f t="shared" si="10"/>
        <v>85.53150000000001</v>
      </c>
      <c r="O29" s="8">
        <f t="shared" si="3"/>
        <v>50.97832499999999</v>
      </c>
      <c r="P29" s="8">
        <f t="shared" si="12"/>
        <v>40.44</v>
      </c>
      <c r="Q29" s="8"/>
      <c r="R29" s="24">
        <f t="shared" si="7"/>
        <v>19152.697380000005</v>
      </c>
      <c r="S29" s="8">
        <f t="shared" si="13"/>
        <v>181.2543108187501</v>
      </c>
      <c r="T29" s="27">
        <f t="shared" si="8"/>
        <v>1414.8038041812501</v>
      </c>
    </row>
    <row r="30" spans="1:20" ht="13.5" customHeight="1">
      <c r="A30" s="2" t="s">
        <v>38</v>
      </c>
      <c r="B30" s="2" t="s">
        <v>31</v>
      </c>
      <c r="C30" s="2">
        <v>4</v>
      </c>
      <c r="D30" s="37">
        <v>2062</v>
      </c>
      <c r="E30" s="18">
        <v>1666</v>
      </c>
      <c r="F30" s="12">
        <v>288.14</v>
      </c>
      <c r="G30" s="14">
        <v>50</v>
      </c>
      <c r="H30" s="6">
        <v>0</v>
      </c>
      <c r="I30" s="6">
        <v>85.01</v>
      </c>
      <c r="J30" s="26">
        <f t="shared" si="0"/>
        <v>49.98</v>
      </c>
      <c r="K30" s="8">
        <f t="shared" si="1"/>
        <v>120.51355999999998</v>
      </c>
      <c r="L30" s="8">
        <f t="shared" si="11"/>
        <v>76.5035</v>
      </c>
      <c r="M30" s="8">
        <f t="shared" si="2"/>
        <v>107.423</v>
      </c>
      <c r="N30" s="8">
        <f t="shared" si="10"/>
        <v>87.5315</v>
      </c>
      <c r="O30" s="8">
        <f t="shared" si="3"/>
        <v>51.998324999999994</v>
      </c>
      <c r="P30" s="8">
        <f t="shared" si="12"/>
        <v>41.24</v>
      </c>
      <c r="Q30" s="8"/>
      <c r="R30" s="24">
        <f t="shared" si="7"/>
        <v>19521.24138</v>
      </c>
      <c r="S30" s="8">
        <f t="shared" si="13"/>
        <v>188.81714081874998</v>
      </c>
      <c r="T30" s="27">
        <f t="shared" si="8"/>
        <v>1437.95297418125</v>
      </c>
    </row>
    <row r="31" spans="1:20" ht="12.75">
      <c r="A31" s="60" t="s">
        <v>60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</row>
    <row r="32" spans="1:20" ht="12.75">
      <c r="A32" s="59" t="s">
        <v>70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</row>
    <row r="33" spans="1:20" ht="12.75">
      <c r="A33" s="56" t="s">
        <v>56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</row>
    <row r="34" spans="1:20" ht="12.75">
      <c r="A34" s="56" t="s">
        <v>57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</row>
    <row r="35" spans="1:20" ht="12.75">
      <c r="A35" s="56" t="s">
        <v>58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</row>
    <row r="36" spans="1:20" ht="12.75">
      <c r="A36" s="56" t="s">
        <v>59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</row>
    <row r="37" spans="1:20" ht="12.75">
      <c r="A37" s="61" t="s">
        <v>61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</row>
    <row r="38" spans="1:20" ht="12.75">
      <c r="A38" s="61" t="s">
        <v>62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</row>
    <row r="39" spans="1:20" ht="12.75">
      <c r="A39" s="61" t="s">
        <v>63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</row>
    <row r="40" spans="1:20" ht="12.75">
      <c r="A40" s="61" t="s">
        <v>71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</row>
    <row r="41" spans="16:20" ht="12.75">
      <c r="P41" s="63" t="s">
        <v>51</v>
      </c>
      <c r="Q41" s="63"/>
      <c r="R41" s="63"/>
      <c r="S41" s="63"/>
      <c r="T41" s="63"/>
    </row>
    <row r="42" spans="16:20" ht="12.75">
      <c r="P42" s="47" t="s">
        <v>73</v>
      </c>
      <c r="Q42" s="47"/>
      <c r="R42" s="47"/>
      <c r="S42" s="47"/>
      <c r="T42" s="47"/>
    </row>
  </sheetData>
  <sheetProtection/>
  <mergeCells count="15">
    <mergeCell ref="A35:T35"/>
    <mergeCell ref="A36:T36"/>
    <mergeCell ref="A38:T38"/>
    <mergeCell ref="P42:T42"/>
    <mergeCell ref="A39:T39"/>
    <mergeCell ref="A37:T37"/>
    <mergeCell ref="A40:T40"/>
    <mergeCell ref="P41:T41"/>
    <mergeCell ref="A34:T34"/>
    <mergeCell ref="A2:T2"/>
    <mergeCell ref="A33:T33"/>
    <mergeCell ref="A32:T32"/>
    <mergeCell ref="A3:S3"/>
    <mergeCell ref="K4:S4"/>
    <mergeCell ref="A31:T31"/>
  </mergeCells>
  <printOptions/>
  <pageMargins left="0.7480314960629921" right="0.7480314960629921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37"/>
  <sheetViews>
    <sheetView zoomScalePageLayoutView="0" workbookViewId="0" topLeftCell="A4">
      <selection activeCell="R5" sqref="R1:R16384"/>
    </sheetView>
  </sheetViews>
  <sheetFormatPr defaultColWidth="9.00390625" defaultRowHeight="12.75"/>
  <cols>
    <col min="1" max="1" width="6.125" style="0" customWidth="1"/>
    <col min="2" max="2" width="4.625" style="0" customWidth="1"/>
    <col min="3" max="3" width="3.875" style="0" bestFit="1" customWidth="1"/>
    <col min="4" max="5" width="8.00390625" style="0" bestFit="1" customWidth="1"/>
    <col min="6" max="6" width="6.625" style="0" hidden="1" customWidth="1"/>
    <col min="7" max="7" width="5.625" style="0" hidden="1" customWidth="1"/>
    <col min="8" max="8" width="4.25390625" style="0" bestFit="1" customWidth="1"/>
    <col min="9" max="9" width="6.375" style="0" hidden="1" customWidth="1"/>
    <col min="10" max="10" width="7.75390625" style="0" bestFit="1" customWidth="1"/>
    <col min="11" max="11" width="6.625" style="0" bestFit="1" customWidth="1"/>
    <col min="12" max="12" width="7.25390625" style="0" customWidth="1"/>
    <col min="13" max="13" width="7.875" style="0" customWidth="1"/>
    <col min="14" max="14" width="7.375" style="0" customWidth="1"/>
    <col min="15" max="15" width="7.00390625" style="0" customWidth="1"/>
    <col min="17" max="17" width="5.125" style="0" bestFit="1" customWidth="1"/>
    <col min="18" max="18" width="9.875" style="0" hidden="1" customWidth="1"/>
    <col min="19" max="19" width="9.00390625" style="0" customWidth="1"/>
    <col min="20" max="20" width="12.25390625" style="0" customWidth="1"/>
  </cols>
  <sheetData>
    <row r="1" ht="24.75" customHeight="1"/>
    <row r="2" spans="1:20" ht="12.75">
      <c r="A2" s="50" t="s">
        <v>68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21" ht="12.75">
      <c r="A3" s="54" t="s">
        <v>46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28"/>
    </row>
    <row r="4" spans="1:21" ht="12.75">
      <c r="A4" s="36"/>
      <c r="B4" s="36"/>
      <c r="C4" s="36"/>
      <c r="D4" s="36"/>
      <c r="E4" s="36"/>
      <c r="F4" s="36"/>
      <c r="G4" s="36"/>
      <c r="H4" s="36"/>
      <c r="I4" s="36"/>
      <c r="J4" s="36"/>
      <c r="K4" s="52" t="s">
        <v>49</v>
      </c>
      <c r="L4" s="52"/>
      <c r="M4" s="52"/>
      <c r="N4" s="52"/>
      <c r="O4" s="52"/>
      <c r="P4" s="52"/>
      <c r="Q4" s="52"/>
      <c r="R4" s="52"/>
      <c r="S4" s="52"/>
      <c r="T4" s="36"/>
      <c r="U4" s="28"/>
    </row>
    <row r="5" spans="1:21" ht="49.5" customHeight="1">
      <c r="A5" s="40" t="s">
        <v>0</v>
      </c>
      <c r="B5" s="40" t="s">
        <v>39</v>
      </c>
      <c r="C5" s="40" t="s">
        <v>66</v>
      </c>
      <c r="D5" s="40" t="s">
        <v>54</v>
      </c>
      <c r="E5" s="41" t="s">
        <v>53</v>
      </c>
      <c r="F5" s="42" t="s">
        <v>18</v>
      </c>
      <c r="G5" s="43" t="s">
        <v>8</v>
      </c>
      <c r="H5" s="40" t="s">
        <v>76</v>
      </c>
      <c r="I5" s="40" t="s">
        <v>77</v>
      </c>
      <c r="J5" s="40" t="s">
        <v>20</v>
      </c>
      <c r="K5" s="42" t="s">
        <v>15</v>
      </c>
      <c r="L5" s="42" t="s">
        <v>9</v>
      </c>
      <c r="M5" s="42" t="s">
        <v>10</v>
      </c>
      <c r="N5" s="42" t="s">
        <v>11</v>
      </c>
      <c r="O5" s="42" t="s">
        <v>13</v>
      </c>
      <c r="P5" s="42" t="s">
        <v>48</v>
      </c>
      <c r="Q5" s="44" t="s">
        <v>44</v>
      </c>
      <c r="R5" s="42" t="s">
        <v>17</v>
      </c>
      <c r="S5" s="42" t="s">
        <v>12</v>
      </c>
      <c r="T5" s="42" t="s">
        <v>16</v>
      </c>
      <c r="U5" s="31"/>
    </row>
    <row r="6" spans="1:21" ht="13.5" customHeight="1">
      <c r="A6" s="2">
        <v>1</v>
      </c>
      <c r="B6" s="2" t="s">
        <v>32</v>
      </c>
      <c r="C6" s="2"/>
      <c r="D6" s="37">
        <v>1092</v>
      </c>
      <c r="E6" s="18">
        <v>985</v>
      </c>
      <c r="F6" s="12">
        <v>288.14</v>
      </c>
      <c r="G6" s="14">
        <v>50</v>
      </c>
      <c r="H6" s="6">
        <v>50</v>
      </c>
      <c r="I6" s="6">
        <v>85.01</v>
      </c>
      <c r="J6" s="6">
        <f aca="true" t="shared" si="0" ref="J6:J14">E6*3%</f>
        <v>29.549999999999997</v>
      </c>
      <c r="K6" s="8">
        <f aca="true" t="shared" si="1" ref="K6:K14">(E6+140.8)*6.67%</f>
        <v>75.09085999999999</v>
      </c>
      <c r="L6" s="8">
        <f aca="true" t="shared" si="2" ref="L6:L14">(E6+140.8)*4%+(F6+G6+H6+I6)*1%</f>
        <v>49.76349999999999</v>
      </c>
      <c r="M6" s="8">
        <f aca="true" t="shared" si="3" ref="M6:M14">(E6)*3%+(F6+H6+I6)*2%+J6</f>
        <v>67.56299999999999</v>
      </c>
      <c r="N6" s="8">
        <f aca="true" t="shared" si="4" ref="N6:N14">(E6)*4%+(E6+F6+G6+H6+I6)*1%</f>
        <v>53.9815</v>
      </c>
      <c r="O6" s="8">
        <f aca="true" t="shared" si="5" ref="O6:O14">(E6+F6+H6+I6)*2.55%</f>
        <v>35.907824999999995</v>
      </c>
      <c r="P6" s="8">
        <f aca="true" t="shared" si="6" ref="P6:P14">(D6+H6)*2%</f>
        <v>22.84</v>
      </c>
      <c r="Q6" s="45">
        <f>(D6+H6)/12+((D6+H6)/2)/24</f>
        <v>118.95833333333334</v>
      </c>
      <c r="R6" s="24">
        <f>(D6+H6+J6-K6-L6-M6-N6-O6-P6-Q6)*12</f>
        <v>8969.339779999998</v>
      </c>
      <c r="S6" s="8">
        <f>((R6-7000)*10%-((R6-7000)*10%)*1.5%)/12</f>
        <v>16.164997360833322</v>
      </c>
      <c r="T6" s="27">
        <f>D6+H6+J6-K6-L6-M6-N6-O6-P6-Q6-S6</f>
        <v>731.2799843058332</v>
      </c>
      <c r="U6" s="31"/>
    </row>
    <row r="7" spans="1:21" ht="13.5" customHeight="1">
      <c r="A7" s="2">
        <v>2</v>
      </c>
      <c r="B7" s="2" t="s">
        <v>32</v>
      </c>
      <c r="C7" s="2"/>
      <c r="D7" s="37">
        <v>1092</v>
      </c>
      <c r="E7" s="18">
        <v>1025</v>
      </c>
      <c r="F7" s="12">
        <v>288.14</v>
      </c>
      <c r="G7" s="14">
        <v>50</v>
      </c>
      <c r="H7" s="6">
        <v>50</v>
      </c>
      <c r="I7" s="6">
        <v>85.01</v>
      </c>
      <c r="J7" s="6">
        <f t="shared" si="0"/>
        <v>30.75</v>
      </c>
      <c r="K7" s="8">
        <f t="shared" si="1"/>
        <v>77.75886</v>
      </c>
      <c r="L7" s="8">
        <f t="shared" si="2"/>
        <v>51.363499999999995</v>
      </c>
      <c r="M7" s="8">
        <f t="shared" si="3"/>
        <v>69.963</v>
      </c>
      <c r="N7" s="8">
        <f t="shared" si="4"/>
        <v>55.9815</v>
      </c>
      <c r="O7" s="8">
        <f t="shared" si="5"/>
        <v>36.92782499999999</v>
      </c>
      <c r="P7" s="8">
        <f t="shared" si="6"/>
        <v>22.84</v>
      </c>
      <c r="Q7" s="45">
        <f>((D6+H6)/2)/24</f>
        <v>23.791666666666668</v>
      </c>
      <c r="R7" s="24">
        <f aca="true" t="shared" si="7" ref="R7:R25">(D7+H7+J7-K7-L7-M7-N7-O7-P7-Q7)*12</f>
        <v>10009.483780000002</v>
      </c>
      <c r="S7" s="8">
        <f>((R7-7000)*10%-((R7-7000)*10%)*1.5%)/12</f>
        <v>24.702846027500016</v>
      </c>
      <c r="T7" s="27">
        <f aca="true" t="shared" si="8" ref="T7:T24">D7+H7+J7-K7-L7-M7-N7-O7-P7-Q7-S7</f>
        <v>809.4208023058336</v>
      </c>
      <c r="U7" s="31"/>
    </row>
    <row r="8" spans="1:21" ht="13.5" customHeight="1">
      <c r="A8" s="2" t="s">
        <v>2</v>
      </c>
      <c r="B8" s="2" t="s">
        <v>33</v>
      </c>
      <c r="C8" s="2"/>
      <c r="D8" s="37">
        <v>1201</v>
      </c>
      <c r="E8" s="18">
        <v>1064</v>
      </c>
      <c r="F8" s="12">
        <v>288.14</v>
      </c>
      <c r="G8" s="14">
        <v>50</v>
      </c>
      <c r="H8" s="6">
        <v>50</v>
      </c>
      <c r="I8" s="6">
        <v>85.01</v>
      </c>
      <c r="J8" s="6">
        <f t="shared" si="0"/>
        <v>31.919999999999998</v>
      </c>
      <c r="K8" s="8">
        <f t="shared" si="1"/>
        <v>80.36016</v>
      </c>
      <c r="L8" s="8">
        <f t="shared" si="2"/>
        <v>52.9235</v>
      </c>
      <c r="M8" s="8">
        <f t="shared" si="3"/>
        <v>72.303</v>
      </c>
      <c r="N8" s="8">
        <f t="shared" si="4"/>
        <v>57.9315</v>
      </c>
      <c r="O8" s="8">
        <f t="shared" si="5"/>
        <v>37.922324999999994</v>
      </c>
      <c r="P8" s="8">
        <f t="shared" si="6"/>
        <v>25.02</v>
      </c>
      <c r="Q8" s="45"/>
      <c r="R8" s="24">
        <f t="shared" si="7"/>
        <v>11477.514180000002</v>
      </c>
      <c r="S8" s="8">
        <f>((R8-7000)*10%-((R8-7000)*10%)*1.5%)/12</f>
        <v>36.752928894166686</v>
      </c>
      <c r="T8" s="27">
        <f t="shared" si="8"/>
        <v>919.7065861058335</v>
      </c>
      <c r="U8" s="31"/>
    </row>
    <row r="9" spans="1:21" ht="13.5" customHeight="1">
      <c r="A9" s="2" t="s">
        <v>3</v>
      </c>
      <c r="B9" s="2" t="s">
        <v>33</v>
      </c>
      <c r="C9" s="2">
        <v>1</v>
      </c>
      <c r="D9" s="37">
        <v>1225</v>
      </c>
      <c r="E9" s="18">
        <v>1104</v>
      </c>
      <c r="F9" s="12">
        <v>288.14</v>
      </c>
      <c r="G9" s="14">
        <v>50</v>
      </c>
      <c r="H9" s="6">
        <v>50</v>
      </c>
      <c r="I9" s="6">
        <v>85.01</v>
      </c>
      <c r="J9" s="6">
        <f t="shared" si="0"/>
        <v>33.12</v>
      </c>
      <c r="K9" s="8">
        <f t="shared" si="1"/>
        <v>83.02815999999999</v>
      </c>
      <c r="L9" s="8">
        <f t="shared" si="2"/>
        <v>54.5235</v>
      </c>
      <c r="M9" s="8">
        <f t="shared" si="3"/>
        <v>74.703</v>
      </c>
      <c r="N9" s="8">
        <f t="shared" si="4"/>
        <v>59.9315</v>
      </c>
      <c r="O9" s="8">
        <f t="shared" si="5"/>
        <v>38.942325</v>
      </c>
      <c r="P9" s="8">
        <f t="shared" si="6"/>
        <v>25.5</v>
      </c>
      <c r="Q9" s="45"/>
      <c r="R9" s="24">
        <f t="shared" si="7"/>
        <v>11657.89818</v>
      </c>
      <c r="S9" s="8">
        <f>((R9-7000)*10%-((R9-7000)*10%)*1.5%)/12</f>
        <v>38.23358089416667</v>
      </c>
      <c r="T9" s="27">
        <f t="shared" si="8"/>
        <v>933.2579341058332</v>
      </c>
      <c r="U9" s="31"/>
    </row>
    <row r="10" spans="1:21" ht="13.5" customHeight="1">
      <c r="A10" s="2" t="s">
        <v>4</v>
      </c>
      <c r="B10" s="2" t="s">
        <v>33</v>
      </c>
      <c r="C10" s="2">
        <v>2</v>
      </c>
      <c r="D10" s="37">
        <v>1250</v>
      </c>
      <c r="E10" s="18">
        <v>1144</v>
      </c>
      <c r="F10" s="12">
        <v>288.14</v>
      </c>
      <c r="G10" s="14">
        <v>50</v>
      </c>
      <c r="H10" s="6">
        <v>50</v>
      </c>
      <c r="I10" s="6">
        <v>85.01</v>
      </c>
      <c r="J10" s="6">
        <f t="shared" si="0"/>
        <v>34.32</v>
      </c>
      <c r="K10" s="8">
        <f t="shared" si="1"/>
        <v>85.69615999999999</v>
      </c>
      <c r="L10" s="8">
        <f t="shared" si="2"/>
        <v>56.12349999999999</v>
      </c>
      <c r="M10" s="8">
        <f t="shared" si="3"/>
        <v>77.10300000000001</v>
      </c>
      <c r="N10" s="8">
        <f t="shared" si="4"/>
        <v>61.9315</v>
      </c>
      <c r="O10" s="8">
        <f t="shared" si="5"/>
        <v>39.96232499999999</v>
      </c>
      <c r="P10" s="8">
        <f t="shared" si="6"/>
        <v>26</v>
      </c>
      <c r="Q10" s="45"/>
      <c r="R10" s="24">
        <f t="shared" si="7"/>
        <v>11850.04218</v>
      </c>
      <c r="S10" s="8">
        <f>((R10-7000)*10%-((R10-7000)*10%)*1.5%)/12</f>
        <v>39.81076289416667</v>
      </c>
      <c r="T10" s="27">
        <f t="shared" si="8"/>
        <v>947.6927521058334</v>
      </c>
      <c r="U10" s="31"/>
    </row>
    <row r="11" spans="1:21" ht="13.5" customHeight="1">
      <c r="A11" s="2" t="s">
        <v>40</v>
      </c>
      <c r="B11" s="2" t="s">
        <v>34</v>
      </c>
      <c r="C11" s="2"/>
      <c r="D11" s="37">
        <v>1381</v>
      </c>
      <c r="E11" s="18">
        <v>1185</v>
      </c>
      <c r="F11" s="12">
        <v>288.14</v>
      </c>
      <c r="G11" s="14">
        <v>50</v>
      </c>
      <c r="H11" s="6">
        <v>50</v>
      </c>
      <c r="I11" s="6">
        <v>85.01</v>
      </c>
      <c r="J11" s="6">
        <f t="shared" si="0"/>
        <v>35.55</v>
      </c>
      <c r="K11" s="8">
        <f t="shared" si="1"/>
        <v>88.43086</v>
      </c>
      <c r="L11" s="8">
        <f t="shared" si="2"/>
        <v>57.76349999999999</v>
      </c>
      <c r="M11" s="8">
        <f t="shared" si="3"/>
        <v>79.56299999999999</v>
      </c>
      <c r="N11" s="8">
        <f t="shared" si="4"/>
        <v>63.9815</v>
      </c>
      <c r="O11" s="8">
        <f t="shared" si="5"/>
        <v>41.007825</v>
      </c>
      <c r="P11" s="8">
        <f t="shared" si="6"/>
        <v>28.62</v>
      </c>
      <c r="Q11" s="45"/>
      <c r="R11" s="24">
        <f t="shared" si="7"/>
        <v>13286.199780000003</v>
      </c>
      <c r="S11" s="8">
        <f aca="true" t="shared" si="9" ref="S11:S16">((R11-12000)*18%+500-((R11-12000)*18%+500)*1.5%)/12</f>
        <v>60.045268416166714</v>
      </c>
      <c r="T11" s="27">
        <f t="shared" si="8"/>
        <v>1047.1380465838336</v>
      </c>
      <c r="U11" s="31"/>
    </row>
    <row r="12" spans="1:21" ht="13.5" customHeight="1">
      <c r="A12" s="2" t="s">
        <v>41</v>
      </c>
      <c r="B12" s="2" t="s">
        <v>34</v>
      </c>
      <c r="C12" s="2">
        <v>1</v>
      </c>
      <c r="D12" s="37">
        <v>1409</v>
      </c>
      <c r="E12" s="18">
        <v>1224</v>
      </c>
      <c r="F12" s="12">
        <v>288.14</v>
      </c>
      <c r="G12" s="14">
        <v>50</v>
      </c>
      <c r="H12" s="6">
        <v>50</v>
      </c>
      <c r="I12" s="6">
        <v>85.01</v>
      </c>
      <c r="J12" s="6">
        <f t="shared" si="0"/>
        <v>36.72</v>
      </c>
      <c r="K12" s="8">
        <f t="shared" si="1"/>
        <v>91.03215999999999</v>
      </c>
      <c r="L12" s="8">
        <f t="shared" si="2"/>
        <v>59.323499999999996</v>
      </c>
      <c r="M12" s="8">
        <f t="shared" si="3"/>
        <v>81.90299999999999</v>
      </c>
      <c r="N12" s="8">
        <f t="shared" si="4"/>
        <v>65.9315</v>
      </c>
      <c r="O12" s="8">
        <f t="shared" si="5"/>
        <v>42.00232499999999</v>
      </c>
      <c r="P12" s="8">
        <f t="shared" si="6"/>
        <v>29.18</v>
      </c>
      <c r="Q12" s="45"/>
      <c r="R12" s="24">
        <f t="shared" si="7"/>
        <v>13516.170180000001</v>
      </c>
      <c r="S12" s="8">
        <f t="shared" si="9"/>
        <v>63.443081076166685</v>
      </c>
      <c r="T12" s="27">
        <f t="shared" si="8"/>
        <v>1062.9044339238335</v>
      </c>
      <c r="U12" s="31"/>
    </row>
    <row r="13" spans="1:21" ht="13.5" customHeight="1">
      <c r="A13" s="2" t="s">
        <v>42</v>
      </c>
      <c r="B13" s="2" t="s">
        <v>34</v>
      </c>
      <c r="C13" s="2">
        <v>2</v>
      </c>
      <c r="D13" s="37">
        <v>1437</v>
      </c>
      <c r="E13" s="18">
        <v>1264</v>
      </c>
      <c r="F13" s="12">
        <v>288.14</v>
      </c>
      <c r="G13" s="14">
        <v>50</v>
      </c>
      <c r="H13" s="6">
        <v>50</v>
      </c>
      <c r="I13" s="6">
        <v>85.01</v>
      </c>
      <c r="J13" s="6">
        <f t="shared" si="0"/>
        <v>37.92</v>
      </c>
      <c r="K13" s="8">
        <f t="shared" si="1"/>
        <v>93.70016</v>
      </c>
      <c r="L13" s="8">
        <f t="shared" si="2"/>
        <v>60.9235</v>
      </c>
      <c r="M13" s="8">
        <f t="shared" si="3"/>
        <v>84.303</v>
      </c>
      <c r="N13" s="8">
        <f t="shared" si="4"/>
        <v>67.9315</v>
      </c>
      <c r="O13" s="8">
        <f t="shared" si="5"/>
        <v>43.022324999999995</v>
      </c>
      <c r="P13" s="8">
        <f t="shared" si="6"/>
        <v>29.740000000000002</v>
      </c>
      <c r="Q13" s="45"/>
      <c r="R13" s="24">
        <f t="shared" si="7"/>
        <v>13743.594180000002</v>
      </c>
      <c r="S13" s="8">
        <f t="shared" si="9"/>
        <v>66.80327067616669</v>
      </c>
      <c r="T13" s="27">
        <f t="shared" si="8"/>
        <v>1078.4962443238335</v>
      </c>
      <c r="U13" s="31"/>
    </row>
    <row r="14" spans="1:21" ht="13.5" customHeight="1">
      <c r="A14" s="2" t="s">
        <v>43</v>
      </c>
      <c r="B14" s="2" t="s">
        <v>30</v>
      </c>
      <c r="C14" s="2"/>
      <c r="D14" s="37">
        <v>1588</v>
      </c>
      <c r="E14" s="18">
        <v>1305</v>
      </c>
      <c r="F14" s="12">
        <v>288.14</v>
      </c>
      <c r="G14" s="14">
        <v>50</v>
      </c>
      <c r="H14" s="6">
        <v>50</v>
      </c>
      <c r="I14" s="6">
        <v>85.01</v>
      </c>
      <c r="J14" s="6">
        <f t="shared" si="0"/>
        <v>39.15</v>
      </c>
      <c r="K14" s="8">
        <f t="shared" si="1"/>
        <v>96.43485999999999</v>
      </c>
      <c r="L14" s="8">
        <f t="shared" si="2"/>
        <v>62.5635</v>
      </c>
      <c r="M14" s="8">
        <f t="shared" si="3"/>
        <v>86.763</v>
      </c>
      <c r="N14" s="8">
        <f t="shared" si="4"/>
        <v>69.9815</v>
      </c>
      <c r="O14" s="8">
        <f t="shared" si="5"/>
        <v>44.06782499999999</v>
      </c>
      <c r="P14" s="8">
        <f t="shared" si="6"/>
        <v>32.76</v>
      </c>
      <c r="Q14" s="45"/>
      <c r="R14" s="24">
        <f t="shared" si="7"/>
        <v>15414.95178</v>
      </c>
      <c r="S14" s="8">
        <f t="shared" si="9"/>
        <v>91.49757921616664</v>
      </c>
      <c r="T14" s="27">
        <f t="shared" si="8"/>
        <v>1193.0817357838332</v>
      </c>
      <c r="U14" s="31"/>
    </row>
    <row r="15" spans="1:21" ht="13.5" customHeight="1">
      <c r="A15" s="2" t="s">
        <v>5</v>
      </c>
      <c r="B15" s="2" t="s">
        <v>30</v>
      </c>
      <c r="C15" s="2">
        <v>1</v>
      </c>
      <c r="D15" s="37">
        <v>1620</v>
      </c>
      <c r="E15" s="18">
        <v>1345</v>
      </c>
      <c r="F15" s="12">
        <v>288.14</v>
      </c>
      <c r="G15" s="14">
        <v>50</v>
      </c>
      <c r="H15" s="6">
        <v>50</v>
      </c>
      <c r="I15" s="6">
        <v>85.01</v>
      </c>
      <c r="J15" s="6">
        <f aca="true" t="shared" si="10" ref="J15:J25">E15*3%</f>
        <v>40.35</v>
      </c>
      <c r="K15" s="8">
        <f aca="true" t="shared" si="11" ref="K15:K25">(E15+140.8)*6.67%</f>
        <v>99.10285999999999</v>
      </c>
      <c r="L15" s="8">
        <f aca="true" t="shared" si="12" ref="L15:L25">(E15+140.8)*4%+(F15+G15+H15+I15)*1%</f>
        <v>64.1635</v>
      </c>
      <c r="M15" s="8">
        <f aca="true" t="shared" si="13" ref="M15:M25">(E15)*3%+(F15+H15+I15)*2%+J15</f>
        <v>89.16300000000001</v>
      </c>
      <c r="N15" s="8">
        <f aca="true" t="shared" si="14" ref="N15:N25">(E15)*4%+(E15+F15+G15+H15+I15)*1%</f>
        <v>71.98150000000001</v>
      </c>
      <c r="O15" s="8">
        <f aca="true" t="shared" si="15" ref="O15:O25">(E15+F15+H15+I15)*2.55%</f>
        <v>45.087824999999995</v>
      </c>
      <c r="P15" s="8">
        <f>(D15+H15)*2%</f>
        <v>33.4</v>
      </c>
      <c r="Q15" s="45"/>
      <c r="R15" s="24">
        <f t="shared" si="7"/>
        <v>15689.415779999996</v>
      </c>
      <c r="S15" s="8">
        <f t="shared" si="9"/>
        <v>95.5527848161666</v>
      </c>
      <c r="T15" s="27">
        <f t="shared" si="8"/>
        <v>1211.898530183833</v>
      </c>
      <c r="U15" s="33"/>
    </row>
    <row r="16" spans="1:21" ht="13.5" customHeight="1">
      <c r="A16" s="2" t="s">
        <v>6</v>
      </c>
      <c r="B16" s="2" t="s">
        <v>30</v>
      </c>
      <c r="C16" s="2">
        <v>2</v>
      </c>
      <c r="D16" s="37">
        <v>1652</v>
      </c>
      <c r="E16" s="18">
        <v>1385</v>
      </c>
      <c r="F16" s="12">
        <v>288.14</v>
      </c>
      <c r="G16" s="14">
        <v>50</v>
      </c>
      <c r="H16" s="6">
        <v>50</v>
      </c>
      <c r="I16" s="6">
        <v>85.01</v>
      </c>
      <c r="J16" s="6">
        <f t="shared" si="10"/>
        <v>41.55</v>
      </c>
      <c r="K16" s="8">
        <f t="shared" si="11"/>
        <v>101.77085999999998</v>
      </c>
      <c r="L16" s="8">
        <f t="shared" si="12"/>
        <v>65.7635</v>
      </c>
      <c r="M16" s="8">
        <f t="shared" si="13"/>
        <v>91.56299999999999</v>
      </c>
      <c r="N16" s="8">
        <f t="shared" si="14"/>
        <v>73.9815</v>
      </c>
      <c r="O16" s="8">
        <f t="shared" si="15"/>
        <v>46.10782499999999</v>
      </c>
      <c r="P16" s="8">
        <f aca="true" t="shared" si="16" ref="P16:P25">(D16+H16)*2%</f>
        <v>34.04</v>
      </c>
      <c r="Q16" s="45"/>
      <c r="R16" s="24">
        <f t="shared" si="7"/>
        <v>15963.87978</v>
      </c>
      <c r="S16" s="8">
        <f t="shared" si="9"/>
        <v>99.60799041616666</v>
      </c>
      <c r="T16" s="27">
        <f t="shared" si="8"/>
        <v>1230.7153245838333</v>
      </c>
      <c r="U16" s="33"/>
    </row>
    <row r="17" spans="1:21" ht="13.5" customHeight="1">
      <c r="A17" s="2" t="s">
        <v>7</v>
      </c>
      <c r="B17" s="2" t="s">
        <v>30</v>
      </c>
      <c r="C17" s="2"/>
      <c r="D17" s="37">
        <v>1906</v>
      </c>
      <c r="E17" s="18">
        <v>1425</v>
      </c>
      <c r="F17" s="12">
        <v>288.14</v>
      </c>
      <c r="G17" s="14">
        <v>50</v>
      </c>
      <c r="H17" s="6">
        <v>50</v>
      </c>
      <c r="I17" s="6">
        <v>85.01</v>
      </c>
      <c r="J17" s="6">
        <f t="shared" si="10"/>
        <v>42.75</v>
      </c>
      <c r="K17" s="8">
        <f t="shared" si="11"/>
        <v>104.43885999999999</v>
      </c>
      <c r="L17" s="8">
        <f t="shared" si="12"/>
        <v>67.3635</v>
      </c>
      <c r="M17" s="8">
        <f t="shared" si="13"/>
        <v>93.963</v>
      </c>
      <c r="N17" s="8">
        <f t="shared" si="14"/>
        <v>75.9815</v>
      </c>
      <c r="O17" s="8">
        <f t="shared" si="15"/>
        <v>47.127824999999994</v>
      </c>
      <c r="P17" s="8">
        <f t="shared" si="16"/>
        <v>39.12</v>
      </c>
      <c r="Q17" s="45"/>
      <c r="R17" s="24">
        <f t="shared" si="7"/>
        <v>18849.06378</v>
      </c>
      <c r="S17" s="8">
        <f>((R17-16000)*25%+1220-((R17-16000)*25%+1220)*1.5%)/12</f>
        <v>158.60682965208335</v>
      </c>
      <c r="T17" s="27">
        <f t="shared" si="8"/>
        <v>1412.1484853479167</v>
      </c>
      <c r="U17" s="33"/>
    </row>
    <row r="18" spans="1:21" ht="13.5" customHeight="1">
      <c r="A18" s="2">
        <v>23</v>
      </c>
      <c r="B18" s="2" t="s">
        <v>31</v>
      </c>
      <c r="C18" s="2"/>
      <c r="D18" s="37">
        <v>1906</v>
      </c>
      <c r="E18" s="18">
        <v>1465</v>
      </c>
      <c r="F18" s="12">
        <v>288.14</v>
      </c>
      <c r="G18" s="14">
        <v>50</v>
      </c>
      <c r="H18" s="6">
        <v>50</v>
      </c>
      <c r="I18" s="6">
        <v>85.01</v>
      </c>
      <c r="J18" s="6">
        <f t="shared" si="10"/>
        <v>43.949999999999996</v>
      </c>
      <c r="K18" s="8">
        <f t="shared" si="11"/>
        <v>107.10685999999998</v>
      </c>
      <c r="L18" s="8">
        <f t="shared" si="12"/>
        <v>68.9635</v>
      </c>
      <c r="M18" s="8">
        <f t="shared" si="13"/>
        <v>96.363</v>
      </c>
      <c r="N18" s="8">
        <f t="shared" si="14"/>
        <v>77.9815</v>
      </c>
      <c r="O18" s="8">
        <f t="shared" si="15"/>
        <v>48.14782499999999</v>
      </c>
      <c r="P18" s="8">
        <f t="shared" si="16"/>
        <v>39.12</v>
      </c>
      <c r="Q18" s="45"/>
      <c r="R18" s="24">
        <f t="shared" si="7"/>
        <v>18747.207779999997</v>
      </c>
      <c r="S18" s="8">
        <f>((R18-16000)*25%+1220-((R18-16000)*25%+1220)*1.5%)/12</f>
        <v>156.51665965208326</v>
      </c>
      <c r="T18" s="27">
        <f t="shared" si="8"/>
        <v>1405.7506553479166</v>
      </c>
      <c r="U18" s="33"/>
    </row>
    <row r="19" spans="1:21" ht="13.5" customHeight="1">
      <c r="A19" s="2">
        <v>24</v>
      </c>
      <c r="B19" s="2" t="s">
        <v>31</v>
      </c>
      <c r="C19" s="2">
        <v>1</v>
      </c>
      <c r="D19" s="37">
        <v>1944</v>
      </c>
      <c r="E19" s="18">
        <v>1465</v>
      </c>
      <c r="F19" s="12">
        <v>288.14</v>
      </c>
      <c r="G19" s="14">
        <v>50</v>
      </c>
      <c r="H19" s="6">
        <v>50</v>
      </c>
      <c r="I19" s="6">
        <v>85.01</v>
      </c>
      <c r="J19" s="6">
        <f t="shared" si="10"/>
        <v>43.949999999999996</v>
      </c>
      <c r="K19" s="8">
        <f t="shared" si="11"/>
        <v>107.10685999999998</v>
      </c>
      <c r="L19" s="8">
        <f t="shared" si="12"/>
        <v>68.9635</v>
      </c>
      <c r="M19" s="8">
        <f t="shared" si="13"/>
        <v>96.363</v>
      </c>
      <c r="N19" s="8">
        <f t="shared" si="14"/>
        <v>77.9815</v>
      </c>
      <c r="O19" s="8">
        <f t="shared" si="15"/>
        <v>48.14782499999999</v>
      </c>
      <c r="P19" s="8">
        <f t="shared" si="16"/>
        <v>39.88</v>
      </c>
      <c r="Q19" s="45"/>
      <c r="R19" s="24">
        <f t="shared" si="7"/>
        <v>19194.087779999994</v>
      </c>
      <c r="S19" s="8">
        <f aca="true" t="shared" si="17" ref="S19:S25">((R19-16000)*25%+1220-((R19-16000)*25%+1220)*1.5%)/12</f>
        <v>165.68700965208322</v>
      </c>
      <c r="T19" s="27">
        <f t="shared" si="8"/>
        <v>1433.8203053479165</v>
      </c>
      <c r="U19" s="33"/>
    </row>
    <row r="20" spans="1:21" ht="13.5" customHeight="1">
      <c r="A20" s="2" t="s">
        <v>35</v>
      </c>
      <c r="B20" s="2" t="s">
        <v>31</v>
      </c>
      <c r="C20" s="2">
        <v>1</v>
      </c>
      <c r="D20" s="37">
        <v>1944</v>
      </c>
      <c r="E20" s="18">
        <v>1506</v>
      </c>
      <c r="F20" s="12">
        <v>288.14</v>
      </c>
      <c r="G20" s="14">
        <v>50</v>
      </c>
      <c r="H20" s="6">
        <v>50</v>
      </c>
      <c r="I20" s="6">
        <v>85.01</v>
      </c>
      <c r="J20" s="6">
        <f t="shared" si="10"/>
        <v>45.18</v>
      </c>
      <c r="K20" s="8">
        <f t="shared" si="11"/>
        <v>109.84155999999999</v>
      </c>
      <c r="L20" s="8">
        <f t="shared" si="12"/>
        <v>70.6035</v>
      </c>
      <c r="M20" s="8">
        <f t="shared" si="13"/>
        <v>98.82300000000001</v>
      </c>
      <c r="N20" s="8">
        <f t="shared" si="14"/>
        <v>80.0315</v>
      </c>
      <c r="O20" s="8">
        <f t="shared" si="15"/>
        <v>49.193324999999994</v>
      </c>
      <c r="P20" s="8">
        <f t="shared" si="16"/>
        <v>39.88</v>
      </c>
      <c r="Q20" s="45"/>
      <c r="R20" s="24">
        <f t="shared" si="7"/>
        <v>19089.68538</v>
      </c>
      <c r="S20" s="8">
        <f t="shared" si="17"/>
        <v>163.5445854020833</v>
      </c>
      <c r="T20" s="27">
        <f t="shared" si="8"/>
        <v>1427.2625295979165</v>
      </c>
      <c r="U20" s="33"/>
    </row>
    <row r="21" spans="1:21" ht="13.5" customHeight="1">
      <c r="A21" s="2" t="s">
        <v>36</v>
      </c>
      <c r="B21" s="2" t="s">
        <v>31</v>
      </c>
      <c r="C21" s="2">
        <v>2</v>
      </c>
      <c r="D21" s="37">
        <v>1983</v>
      </c>
      <c r="E21" s="18">
        <v>1546</v>
      </c>
      <c r="F21" s="12">
        <v>288.14</v>
      </c>
      <c r="G21" s="14">
        <v>50</v>
      </c>
      <c r="H21" s="6">
        <v>50</v>
      </c>
      <c r="I21" s="6">
        <v>85.01</v>
      </c>
      <c r="J21" s="6">
        <f t="shared" si="10"/>
        <v>46.379999999999995</v>
      </c>
      <c r="K21" s="8">
        <f t="shared" si="11"/>
        <v>112.50956</v>
      </c>
      <c r="L21" s="8">
        <f t="shared" si="12"/>
        <v>72.20349999999999</v>
      </c>
      <c r="M21" s="8">
        <f t="shared" si="13"/>
        <v>101.22299999999998</v>
      </c>
      <c r="N21" s="8">
        <f t="shared" si="14"/>
        <v>82.0315</v>
      </c>
      <c r="O21" s="8">
        <f t="shared" si="15"/>
        <v>50.21332499999999</v>
      </c>
      <c r="P21" s="8">
        <f t="shared" si="16"/>
        <v>40.660000000000004</v>
      </c>
      <c r="Q21" s="45"/>
      <c r="R21" s="24">
        <f t="shared" si="7"/>
        <v>19446.469380000002</v>
      </c>
      <c r="S21" s="8">
        <f t="shared" si="17"/>
        <v>170.8660904020834</v>
      </c>
      <c r="T21" s="27">
        <f t="shared" si="8"/>
        <v>1449.6730245979165</v>
      </c>
      <c r="U21" s="33"/>
    </row>
    <row r="22" spans="1:20" ht="13.5" customHeight="1">
      <c r="A22" s="2">
        <v>29</v>
      </c>
      <c r="B22" s="2" t="s">
        <v>31</v>
      </c>
      <c r="C22" s="2">
        <v>2</v>
      </c>
      <c r="D22" s="37">
        <v>1983</v>
      </c>
      <c r="E22" s="18">
        <v>1585</v>
      </c>
      <c r="F22" s="12">
        <v>288.14</v>
      </c>
      <c r="G22" s="14">
        <v>50</v>
      </c>
      <c r="H22" s="6">
        <v>50</v>
      </c>
      <c r="I22" s="6">
        <v>85.01</v>
      </c>
      <c r="J22" s="6">
        <f t="shared" si="10"/>
        <v>47.55</v>
      </c>
      <c r="K22" s="8">
        <f t="shared" si="11"/>
        <v>115.11085999999999</v>
      </c>
      <c r="L22" s="8">
        <f t="shared" si="12"/>
        <v>73.7635</v>
      </c>
      <c r="M22" s="8">
        <f t="shared" si="13"/>
        <v>103.56299999999999</v>
      </c>
      <c r="N22" s="8">
        <f t="shared" si="14"/>
        <v>83.9815</v>
      </c>
      <c r="O22" s="8">
        <f t="shared" si="15"/>
        <v>51.20782499999999</v>
      </c>
      <c r="P22" s="8">
        <f t="shared" si="16"/>
        <v>40.660000000000004</v>
      </c>
      <c r="Q22" s="45"/>
      <c r="R22" s="24">
        <f t="shared" si="7"/>
        <v>19347.15978</v>
      </c>
      <c r="S22" s="8">
        <f t="shared" si="17"/>
        <v>168.82817465208336</v>
      </c>
      <c r="T22" s="27">
        <f t="shared" si="8"/>
        <v>1443.4351403479168</v>
      </c>
    </row>
    <row r="23" spans="1:20" ht="13.5" customHeight="1">
      <c r="A23" s="2">
        <v>30</v>
      </c>
      <c r="B23" s="2" t="s">
        <v>31</v>
      </c>
      <c r="C23" s="2">
        <v>3</v>
      </c>
      <c r="D23" s="37">
        <v>2022</v>
      </c>
      <c r="E23" s="18">
        <v>1585</v>
      </c>
      <c r="F23" s="12">
        <v>288.14</v>
      </c>
      <c r="G23" s="14">
        <v>50</v>
      </c>
      <c r="H23" s="6">
        <v>50</v>
      </c>
      <c r="I23" s="6">
        <v>85.01</v>
      </c>
      <c r="J23" s="6">
        <f t="shared" si="10"/>
        <v>47.55</v>
      </c>
      <c r="K23" s="8">
        <f t="shared" si="11"/>
        <v>115.11085999999999</v>
      </c>
      <c r="L23" s="8">
        <f t="shared" si="12"/>
        <v>73.7635</v>
      </c>
      <c r="M23" s="8">
        <f t="shared" si="13"/>
        <v>103.56299999999999</v>
      </c>
      <c r="N23" s="8">
        <f t="shared" si="14"/>
        <v>83.9815</v>
      </c>
      <c r="O23" s="8">
        <f t="shared" si="15"/>
        <v>51.20782499999999</v>
      </c>
      <c r="P23" s="8">
        <f t="shared" si="16"/>
        <v>41.44</v>
      </c>
      <c r="Q23" s="45"/>
      <c r="R23" s="24">
        <f t="shared" si="7"/>
        <v>19805.79978</v>
      </c>
      <c r="S23" s="8">
        <f t="shared" si="17"/>
        <v>178.23984965208334</v>
      </c>
      <c r="T23" s="27">
        <f t="shared" si="8"/>
        <v>1472.2434653479168</v>
      </c>
    </row>
    <row r="24" spans="1:20" ht="13.5" customHeight="1">
      <c r="A24" s="2" t="s">
        <v>37</v>
      </c>
      <c r="B24" s="2" t="s">
        <v>31</v>
      </c>
      <c r="C24" s="2">
        <v>3</v>
      </c>
      <c r="D24" s="37">
        <v>2022</v>
      </c>
      <c r="E24" s="18">
        <v>1626</v>
      </c>
      <c r="F24" s="12">
        <v>288.14</v>
      </c>
      <c r="G24" s="14">
        <v>50</v>
      </c>
      <c r="H24" s="6">
        <v>50</v>
      </c>
      <c r="I24" s="6">
        <v>85.01</v>
      </c>
      <c r="J24" s="26">
        <f t="shared" si="10"/>
        <v>48.78</v>
      </c>
      <c r="K24" s="8">
        <f t="shared" si="11"/>
        <v>117.84555999999999</v>
      </c>
      <c r="L24" s="8">
        <f t="shared" si="12"/>
        <v>75.4035</v>
      </c>
      <c r="M24" s="8">
        <f t="shared" si="13"/>
        <v>106.023</v>
      </c>
      <c r="N24" s="8">
        <f t="shared" si="14"/>
        <v>86.03150000000001</v>
      </c>
      <c r="O24" s="8">
        <f t="shared" si="15"/>
        <v>52.253325</v>
      </c>
      <c r="P24" s="8">
        <f t="shared" si="16"/>
        <v>41.44</v>
      </c>
      <c r="Q24" s="45"/>
      <c r="R24" s="24">
        <f t="shared" si="7"/>
        <v>19701.397380000006</v>
      </c>
      <c r="S24" s="8">
        <f t="shared" si="17"/>
        <v>176.09742540208345</v>
      </c>
      <c r="T24" s="27">
        <f t="shared" si="8"/>
        <v>1465.685689597917</v>
      </c>
    </row>
    <row r="25" spans="1:20" ht="13.5" customHeight="1">
      <c r="A25" s="2" t="s">
        <v>38</v>
      </c>
      <c r="B25" s="2" t="s">
        <v>31</v>
      </c>
      <c r="C25" s="2">
        <v>4</v>
      </c>
      <c r="D25" s="37">
        <v>2062</v>
      </c>
      <c r="E25" s="18">
        <v>1666</v>
      </c>
      <c r="F25" s="12">
        <v>288.14</v>
      </c>
      <c r="G25" s="14">
        <v>50</v>
      </c>
      <c r="H25" s="6">
        <v>50</v>
      </c>
      <c r="I25" s="6">
        <v>85.01</v>
      </c>
      <c r="J25" s="26">
        <f t="shared" si="10"/>
        <v>49.98</v>
      </c>
      <c r="K25" s="8">
        <f t="shared" si="11"/>
        <v>120.51355999999998</v>
      </c>
      <c r="L25" s="8">
        <f t="shared" si="12"/>
        <v>77.0035</v>
      </c>
      <c r="M25" s="8">
        <f t="shared" si="13"/>
        <v>108.423</v>
      </c>
      <c r="N25" s="8">
        <f t="shared" si="14"/>
        <v>88.0315</v>
      </c>
      <c r="O25" s="8">
        <f t="shared" si="15"/>
        <v>53.273325</v>
      </c>
      <c r="P25" s="8">
        <f t="shared" si="16"/>
        <v>42.24</v>
      </c>
      <c r="Q25" s="45"/>
      <c r="R25" s="24">
        <f t="shared" si="7"/>
        <v>20069.94138</v>
      </c>
      <c r="S25" s="8">
        <f t="shared" si="17"/>
        <v>183.66025540208332</v>
      </c>
      <c r="T25" s="27">
        <f>D25+H25+J25-K25-L25-M25-N25-O25-P25-Q25-S25</f>
        <v>1488.8348595979166</v>
      </c>
    </row>
    <row r="26" spans="1:20" ht="12.75">
      <c r="A26" s="60" t="s">
        <v>60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</row>
    <row r="27" spans="1:20" ht="12.75">
      <c r="A27" s="59" t="s">
        <v>70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</row>
    <row r="28" spans="1:20" ht="12.75">
      <c r="A28" s="56" t="s">
        <v>56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</row>
    <row r="29" spans="1:20" ht="12.75">
      <c r="A29" s="56" t="s">
        <v>57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</row>
    <row r="30" spans="1:20" ht="12.75">
      <c r="A30" s="56" t="s">
        <v>58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</row>
    <row r="31" spans="1:20" ht="12.75">
      <c r="A31" s="56" t="s">
        <v>59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</row>
    <row r="32" spans="1:20" ht="12.75">
      <c r="A32" s="61" t="s">
        <v>61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</row>
    <row r="33" spans="1:20" ht="12.75">
      <c r="A33" s="61" t="s">
        <v>62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20" ht="12.75">
      <c r="A34" s="61" t="s">
        <v>63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</row>
    <row r="35" spans="1:20" ht="12.75">
      <c r="A35" s="61" t="s">
        <v>72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</row>
    <row r="36" spans="1:20" ht="12.75">
      <c r="A36" s="1"/>
      <c r="B36" s="1"/>
      <c r="C36" s="1"/>
      <c r="D36" s="1"/>
      <c r="E36" s="19"/>
      <c r="F36" s="9"/>
      <c r="G36" s="15"/>
      <c r="H36" s="9"/>
      <c r="I36" s="9"/>
      <c r="J36" s="9"/>
      <c r="K36" s="7"/>
      <c r="L36" s="7"/>
      <c r="M36" s="7"/>
      <c r="N36" s="7"/>
      <c r="O36" s="7"/>
      <c r="P36" s="64" t="s">
        <v>51</v>
      </c>
      <c r="Q36" s="64"/>
      <c r="R36" s="64"/>
      <c r="S36" s="64"/>
      <c r="T36" s="64"/>
    </row>
    <row r="37" spans="16:20" ht="12.75">
      <c r="P37" s="46" t="s">
        <v>73</v>
      </c>
      <c r="Q37" s="46"/>
      <c r="R37" s="46"/>
      <c r="S37" s="46"/>
      <c r="T37" s="46"/>
    </row>
  </sheetData>
  <sheetProtection/>
  <mergeCells count="15">
    <mergeCell ref="P36:T36"/>
    <mergeCell ref="P37:T37"/>
    <mergeCell ref="A30:T30"/>
    <mergeCell ref="A31:T31"/>
    <mergeCell ref="A32:T32"/>
    <mergeCell ref="A33:T33"/>
    <mergeCell ref="A34:T34"/>
    <mergeCell ref="A35:T35"/>
    <mergeCell ref="A29:T29"/>
    <mergeCell ref="A28:T28"/>
    <mergeCell ref="A27:T27"/>
    <mergeCell ref="A2:T2"/>
    <mergeCell ref="A3:T3"/>
    <mergeCell ref="K4:S4"/>
    <mergeCell ref="A26:T26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U37"/>
  <sheetViews>
    <sheetView tabSelected="1" zoomScalePageLayoutView="0" workbookViewId="0" topLeftCell="A1">
      <selection activeCell="R1" sqref="R1:R16384"/>
    </sheetView>
  </sheetViews>
  <sheetFormatPr defaultColWidth="9.00390625" defaultRowHeight="12.75"/>
  <cols>
    <col min="1" max="1" width="6.125" style="0" customWidth="1"/>
    <col min="2" max="3" width="4.625" style="0" customWidth="1"/>
    <col min="4" max="4" width="9.375" style="0" customWidth="1"/>
    <col min="5" max="5" width="9.25390625" style="0" customWidth="1"/>
    <col min="6" max="6" width="10.125" style="0" hidden="1" customWidth="1"/>
    <col min="7" max="7" width="7.875" style="0" hidden="1" customWidth="1"/>
    <col min="8" max="8" width="7.625" style="0" customWidth="1"/>
    <col min="9" max="9" width="6.375" style="0" hidden="1" customWidth="1"/>
    <col min="11" max="11" width="8.625" style="0" customWidth="1"/>
    <col min="12" max="12" width="7.25390625" style="0" customWidth="1"/>
    <col min="13" max="13" width="6.875" style="0" customWidth="1"/>
    <col min="14" max="14" width="7.375" style="0" customWidth="1"/>
    <col min="15" max="15" width="7.875" style="0" customWidth="1"/>
    <col min="16" max="16" width="10.875" style="0" customWidth="1"/>
    <col min="17" max="17" width="9.00390625" style="0" customWidth="1"/>
    <col min="18" max="18" width="9.375" style="0" hidden="1" customWidth="1"/>
    <col min="19" max="19" width="9.00390625" style="0" customWidth="1"/>
    <col min="20" max="20" width="11.25390625" style="0" customWidth="1"/>
  </cols>
  <sheetData>
    <row r="2" spans="1:20" ht="12.75">
      <c r="A2" s="50" t="s">
        <v>69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20" ht="12.75">
      <c r="A3" s="54" t="s">
        <v>47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</row>
    <row r="4" spans="1:20" ht="12.75">
      <c r="A4" s="36"/>
      <c r="B4" s="36"/>
      <c r="C4" s="36"/>
      <c r="D4" s="36"/>
      <c r="E4" s="36"/>
      <c r="F4" s="36"/>
      <c r="G4" s="36"/>
      <c r="H4" s="36"/>
      <c r="I4" s="36"/>
      <c r="J4" s="36"/>
      <c r="K4" s="52" t="s">
        <v>49</v>
      </c>
      <c r="L4" s="52"/>
      <c r="M4" s="52"/>
      <c r="N4" s="52"/>
      <c r="O4" s="52"/>
      <c r="P4" s="52"/>
      <c r="Q4" s="52"/>
      <c r="R4" s="52"/>
      <c r="S4" s="52"/>
      <c r="T4" s="36"/>
    </row>
    <row r="5" spans="1:21" ht="49.5" customHeight="1">
      <c r="A5" s="40" t="s">
        <v>0</v>
      </c>
      <c r="B5" s="40" t="s">
        <v>39</v>
      </c>
      <c r="C5" s="40" t="s">
        <v>66</v>
      </c>
      <c r="D5" s="40" t="s">
        <v>54</v>
      </c>
      <c r="E5" s="41" t="s">
        <v>53</v>
      </c>
      <c r="F5" s="42" t="s">
        <v>18</v>
      </c>
      <c r="G5" s="43" t="s">
        <v>8</v>
      </c>
      <c r="H5" s="40" t="s">
        <v>14</v>
      </c>
      <c r="I5" s="40" t="s">
        <v>19</v>
      </c>
      <c r="J5" s="40" t="s">
        <v>20</v>
      </c>
      <c r="K5" s="42" t="s">
        <v>15</v>
      </c>
      <c r="L5" s="42" t="s">
        <v>9</v>
      </c>
      <c r="M5" s="42" t="s">
        <v>10</v>
      </c>
      <c r="N5" s="42" t="s">
        <v>11</v>
      </c>
      <c r="O5" s="42" t="s">
        <v>13</v>
      </c>
      <c r="P5" s="42" t="s">
        <v>48</v>
      </c>
      <c r="Q5" s="42" t="s">
        <v>44</v>
      </c>
      <c r="R5" s="42" t="s">
        <v>17</v>
      </c>
      <c r="S5" s="42" t="s">
        <v>12</v>
      </c>
      <c r="T5" s="42" t="s">
        <v>16</v>
      </c>
      <c r="U5" s="31"/>
    </row>
    <row r="6" spans="1:21" ht="13.5" customHeight="1">
      <c r="A6" s="2">
        <v>1</v>
      </c>
      <c r="B6" s="2" t="s">
        <v>32</v>
      </c>
      <c r="C6" s="2"/>
      <c r="D6" s="37">
        <v>1092</v>
      </c>
      <c r="E6" s="18">
        <v>985</v>
      </c>
      <c r="F6" s="12">
        <v>288.14</v>
      </c>
      <c r="G6" s="14">
        <v>50</v>
      </c>
      <c r="H6" s="6">
        <v>70</v>
      </c>
      <c r="I6" s="6">
        <v>85.01</v>
      </c>
      <c r="J6" s="6">
        <f aca="true" t="shared" si="0" ref="J6:J14">E6*3%</f>
        <v>29.549999999999997</v>
      </c>
      <c r="K6" s="8">
        <f aca="true" t="shared" si="1" ref="K6:K14">(E6+140.8)*6.67%</f>
        <v>75.09085999999999</v>
      </c>
      <c r="L6" s="8">
        <f aca="true" t="shared" si="2" ref="L6:L14">(E6+140.8)*4%+(F6+G6+H6+I6)*1%</f>
        <v>49.963499999999996</v>
      </c>
      <c r="M6" s="8">
        <f aca="true" t="shared" si="3" ref="M6:M14">(E6)*3%+(F6+H6+I6)*2%+J6</f>
        <v>67.963</v>
      </c>
      <c r="N6" s="8">
        <f aca="true" t="shared" si="4" ref="N6:N14">(E6)*4%+(E6+F6+G6+H6+I6)*1%</f>
        <v>54.1815</v>
      </c>
      <c r="O6" s="8">
        <f aca="true" t="shared" si="5" ref="O6:O14">(E6+F6+H6+I6)*2.55%</f>
        <v>36.41782499999999</v>
      </c>
      <c r="P6" s="8">
        <f aca="true" t="shared" si="6" ref="P6:P14">(D6+H6)*2%</f>
        <v>23.240000000000002</v>
      </c>
      <c r="Q6" s="8">
        <f>(D6+H6)/12+((D6+H6)/2)/24</f>
        <v>121.04166666666666</v>
      </c>
      <c r="R6" s="24">
        <f>(D6+H6+J6-K6-L6-M6-N6-O6-P6-Q6)*12</f>
        <v>9163.819779999998</v>
      </c>
      <c r="S6" s="8">
        <f>((R6-9000)*10%-((R6-9000)*10%)*1.5%)/12</f>
        <v>1.3446873608333172</v>
      </c>
      <c r="T6" s="27">
        <f>D6+H6+J6-K6-L6-M6-N6-O6-P6-Q6-S6</f>
        <v>762.3069609725</v>
      </c>
      <c r="U6" s="31"/>
    </row>
    <row r="7" spans="1:21" ht="13.5" customHeight="1">
      <c r="A7" s="2">
        <v>2</v>
      </c>
      <c r="B7" s="2" t="s">
        <v>32</v>
      </c>
      <c r="C7" s="2"/>
      <c r="D7" s="37">
        <v>1092</v>
      </c>
      <c r="E7" s="18">
        <v>1025</v>
      </c>
      <c r="F7" s="12">
        <v>288.14</v>
      </c>
      <c r="G7" s="14">
        <v>50</v>
      </c>
      <c r="H7" s="6">
        <v>70</v>
      </c>
      <c r="I7" s="6">
        <v>85.01</v>
      </c>
      <c r="J7" s="6">
        <f t="shared" si="0"/>
        <v>30.75</v>
      </c>
      <c r="K7" s="8">
        <f t="shared" si="1"/>
        <v>77.75886</v>
      </c>
      <c r="L7" s="8">
        <f t="shared" si="2"/>
        <v>51.5635</v>
      </c>
      <c r="M7" s="8">
        <f t="shared" si="3"/>
        <v>70.363</v>
      </c>
      <c r="N7" s="8">
        <f t="shared" si="4"/>
        <v>56.1815</v>
      </c>
      <c r="O7" s="8">
        <f t="shared" si="5"/>
        <v>37.437825</v>
      </c>
      <c r="P7" s="8">
        <f t="shared" si="6"/>
        <v>23.240000000000002</v>
      </c>
      <c r="Q7" s="8">
        <f>((D6+H6)/2)/24</f>
        <v>24.208333333333332</v>
      </c>
      <c r="R7" s="24">
        <f aca="true" t="shared" si="7" ref="R7:R25">(D7+H7+J7-K7-L7-M7-N7-O7-P7-Q7)*12</f>
        <v>10223.96378</v>
      </c>
      <c r="S7" s="8">
        <f>((R7-9000)*10%-((R7-9000)*10%)*1.5%)/12</f>
        <v>10.046702694166667</v>
      </c>
      <c r="T7" s="27">
        <f aca="true" t="shared" si="8" ref="T7:T25">D7+H7+J7-K7-L7-M7-N7-O7-P7-Q7-S7</f>
        <v>841.9502789725</v>
      </c>
      <c r="U7" s="31"/>
    </row>
    <row r="8" spans="1:21" ht="13.5" customHeight="1">
      <c r="A8" s="2" t="s">
        <v>2</v>
      </c>
      <c r="B8" s="2" t="s">
        <v>33</v>
      </c>
      <c r="C8" s="2"/>
      <c r="D8" s="37">
        <v>1201</v>
      </c>
      <c r="E8" s="18">
        <v>1064</v>
      </c>
      <c r="F8" s="12">
        <v>288.14</v>
      </c>
      <c r="G8" s="14">
        <v>50</v>
      </c>
      <c r="H8" s="6">
        <v>70</v>
      </c>
      <c r="I8" s="6">
        <v>85.01</v>
      </c>
      <c r="J8" s="6">
        <f t="shared" si="0"/>
        <v>31.919999999999998</v>
      </c>
      <c r="K8" s="8">
        <f t="shared" si="1"/>
        <v>80.36016</v>
      </c>
      <c r="L8" s="8">
        <f t="shared" si="2"/>
        <v>53.1235</v>
      </c>
      <c r="M8" s="8">
        <f t="shared" si="3"/>
        <v>72.703</v>
      </c>
      <c r="N8" s="8">
        <f t="shared" si="4"/>
        <v>58.1315</v>
      </c>
      <c r="O8" s="8">
        <f t="shared" si="5"/>
        <v>38.43232499999999</v>
      </c>
      <c r="P8" s="8">
        <f t="shared" si="6"/>
        <v>25.42</v>
      </c>
      <c r="Q8" s="8"/>
      <c r="R8" s="24">
        <f t="shared" si="7"/>
        <v>11696.994180000003</v>
      </c>
      <c r="S8" s="8">
        <f>((R8-9000)*10%-((R8-9000)*10%)*1.5%)/12</f>
        <v>22.137827227500026</v>
      </c>
      <c r="T8" s="27">
        <f t="shared" si="8"/>
        <v>952.6116877725003</v>
      </c>
      <c r="U8" s="31"/>
    </row>
    <row r="9" spans="1:21" ht="13.5" customHeight="1">
      <c r="A9" s="2" t="s">
        <v>3</v>
      </c>
      <c r="B9" s="2" t="s">
        <v>33</v>
      </c>
      <c r="C9" s="2">
        <v>1</v>
      </c>
      <c r="D9" s="37">
        <v>1225</v>
      </c>
      <c r="E9" s="18">
        <v>1104</v>
      </c>
      <c r="F9" s="12">
        <v>288.14</v>
      </c>
      <c r="G9" s="14">
        <v>50</v>
      </c>
      <c r="H9" s="6">
        <v>70</v>
      </c>
      <c r="I9" s="6">
        <v>85.01</v>
      </c>
      <c r="J9" s="6">
        <f t="shared" si="0"/>
        <v>33.12</v>
      </c>
      <c r="K9" s="8">
        <f t="shared" si="1"/>
        <v>83.02815999999999</v>
      </c>
      <c r="L9" s="8">
        <f t="shared" si="2"/>
        <v>54.7235</v>
      </c>
      <c r="M9" s="8">
        <f t="shared" si="3"/>
        <v>75.103</v>
      </c>
      <c r="N9" s="8">
        <f t="shared" si="4"/>
        <v>60.1315</v>
      </c>
      <c r="O9" s="8">
        <f t="shared" si="5"/>
        <v>39.452324999999995</v>
      </c>
      <c r="P9" s="8">
        <f t="shared" si="6"/>
        <v>25.900000000000002</v>
      </c>
      <c r="Q9" s="8"/>
      <c r="R9" s="24">
        <f t="shared" si="7"/>
        <v>11877.378179999998</v>
      </c>
      <c r="S9" s="8">
        <f>((R9-9000)*10%-((R9-9000)*10%)*1.5%)/12</f>
        <v>23.61847922749998</v>
      </c>
      <c r="T9" s="27">
        <f t="shared" si="8"/>
        <v>966.1630357724998</v>
      </c>
      <c r="U9" s="31"/>
    </row>
    <row r="10" spans="1:21" ht="13.5" customHeight="1">
      <c r="A10" s="2" t="s">
        <v>4</v>
      </c>
      <c r="B10" s="2" t="s">
        <v>33</v>
      </c>
      <c r="C10" s="2">
        <v>2</v>
      </c>
      <c r="D10" s="37">
        <v>1250</v>
      </c>
      <c r="E10" s="18">
        <v>1144</v>
      </c>
      <c r="F10" s="12">
        <v>288.14</v>
      </c>
      <c r="G10" s="14">
        <v>50</v>
      </c>
      <c r="H10" s="6">
        <v>70</v>
      </c>
      <c r="I10" s="6">
        <v>85.01</v>
      </c>
      <c r="J10" s="6">
        <f t="shared" si="0"/>
        <v>34.32</v>
      </c>
      <c r="K10" s="8">
        <f t="shared" si="1"/>
        <v>85.69615999999999</v>
      </c>
      <c r="L10" s="8">
        <f t="shared" si="2"/>
        <v>56.323499999999996</v>
      </c>
      <c r="M10" s="8">
        <f t="shared" si="3"/>
        <v>77.503</v>
      </c>
      <c r="N10" s="8">
        <f t="shared" si="4"/>
        <v>62.131499999999996</v>
      </c>
      <c r="O10" s="8">
        <f t="shared" si="5"/>
        <v>40.47232499999999</v>
      </c>
      <c r="P10" s="8">
        <f t="shared" si="6"/>
        <v>26.400000000000002</v>
      </c>
      <c r="Q10" s="8"/>
      <c r="R10" s="24">
        <f t="shared" si="7"/>
        <v>12069.522180000002</v>
      </c>
      <c r="S10" s="8">
        <f aca="true" t="shared" si="9" ref="S10:S15">((R10-12000)*18%+300-((R10-12000)*18%+300)*1.5%)/12</f>
        <v>25.652190209500024</v>
      </c>
      <c r="T10" s="27">
        <f t="shared" si="8"/>
        <v>980.1413247905001</v>
      </c>
      <c r="U10" s="31"/>
    </row>
    <row r="11" spans="1:21" ht="13.5" customHeight="1">
      <c r="A11" s="2" t="s">
        <v>40</v>
      </c>
      <c r="B11" s="2" t="s">
        <v>34</v>
      </c>
      <c r="C11" s="2"/>
      <c r="D11" s="37">
        <v>1381</v>
      </c>
      <c r="E11" s="18">
        <v>1185</v>
      </c>
      <c r="F11" s="12">
        <v>288.14</v>
      </c>
      <c r="G11" s="14">
        <v>50</v>
      </c>
      <c r="H11" s="6">
        <v>70</v>
      </c>
      <c r="I11" s="6">
        <v>85.01</v>
      </c>
      <c r="J11" s="6">
        <f t="shared" si="0"/>
        <v>35.55</v>
      </c>
      <c r="K11" s="8">
        <f t="shared" si="1"/>
        <v>88.43086</v>
      </c>
      <c r="L11" s="8">
        <f t="shared" si="2"/>
        <v>57.963499999999996</v>
      </c>
      <c r="M11" s="8">
        <f t="shared" si="3"/>
        <v>79.963</v>
      </c>
      <c r="N11" s="8">
        <f t="shared" si="4"/>
        <v>64.1815</v>
      </c>
      <c r="O11" s="8">
        <f t="shared" si="5"/>
        <v>41.517824999999995</v>
      </c>
      <c r="P11" s="8">
        <f t="shared" si="6"/>
        <v>29.02</v>
      </c>
      <c r="Q11" s="8"/>
      <c r="R11" s="24">
        <f t="shared" si="7"/>
        <v>13505.679780000002</v>
      </c>
      <c r="S11" s="8">
        <f t="shared" si="9"/>
        <v>46.87141874950003</v>
      </c>
      <c r="T11" s="27">
        <f t="shared" si="8"/>
        <v>1078.6018962505002</v>
      </c>
      <c r="U11" s="31"/>
    </row>
    <row r="12" spans="1:21" ht="13.5" customHeight="1">
      <c r="A12" s="2" t="s">
        <v>41</v>
      </c>
      <c r="B12" s="2" t="s">
        <v>34</v>
      </c>
      <c r="C12" s="2">
        <v>1</v>
      </c>
      <c r="D12" s="37">
        <v>1409</v>
      </c>
      <c r="E12" s="18">
        <v>1224</v>
      </c>
      <c r="F12" s="12">
        <v>288.14</v>
      </c>
      <c r="G12" s="14">
        <v>50</v>
      </c>
      <c r="H12" s="6">
        <v>70</v>
      </c>
      <c r="I12" s="6">
        <v>85.01</v>
      </c>
      <c r="J12" s="6">
        <f t="shared" si="0"/>
        <v>36.72</v>
      </c>
      <c r="K12" s="8">
        <f t="shared" si="1"/>
        <v>91.03215999999999</v>
      </c>
      <c r="L12" s="8">
        <f t="shared" si="2"/>
        <v>59.5235</v>
      </c>
      <c r="M12" s="8">
        <f t="shared" si="3"/>
        <v>82.303</v>
      </c>
      <c r="N12" s="8">
        <f t="shared" si="4"/>
        <v>66.1315</v>
      </c>
      <c r="O12" s="8">
        <f t="shared" si="5"/>
        <v>42.512325</v>
      </c>
      <c r="P12" s="8">
        <f t="shared" si="6"/>
        <v>29.580000000000002</v>
      </c>
      <c r="Q12" s="8"/>
      <c r="R12" s="24">
        <f t="shared" si="7"/>
        <v>13735.65018</v>
      </c>
      <c r="S12" s="8">
        <f t="shared" si="9"/>
        <v>50.26923140950001</v>
      </c>
      <c r="T12" s="27">
        <f t="shared" si="8"/>
        <v>1094.3682835905001</v>
      </c>
      <c r="U12" s="31"/>
    </row>
    <row r="13" spans="1:21" ht="13.5" customHeight="1">
      <c r="A13" s="2" t="s">
        <v>42</v>
      </c>
      <c r="B13" s="2" t="s">
        <v>34</v>
      </c>
      <c r="C13" s="2">
        <v>2</v>
      </c>
      <c r="D13" s="37">
        <v>1437</v>
      </c>
      <c r="E13" s="18">
        <v>1264</v>
      </c>
      <c r="F13" s="12">
        <v>288.14</v>
      </c>
      <c r="G13" s="14">
        <v>50</v>
      </c>
      <c r="H13" s="6">
        <v>70</v>
      </c>
      <c r="I13" s="6">
        <v>85.01</v>
      </c>
      <c r="J13" s="6">
        <f t="shared" si="0"/>
        <v>37.92</v>
      </c>
      <c r="K13" s="8">
        <f t="shared" si="1"/>
        <v>93.70016</v>
      </c>
      <c r="L13" s="8">
        <f t="shared" si="2"/>
        <v>61.1235</v>
      </c>
      <c r="M13" s="8">
        <f t="shared" si="3"/>
        <v>84.703</v>
      </c>
      <c r="N13" s="8">
        <f t="shared" si="4"/>
        <v>68.1315</v>
      </c>
      <c r="O13" s="8">
        <f t="shared" si="5"/>
        <v>43.53232499999999</v>
      </c>
      <c r="P13" s="8">
        <f t="shared" si="6"/>
        <v>30.14</v>
      </c>
      <c r="Q13" s="8"/>
      <c r="R13" s="24">
        <f t="shared" si="7"/>
        <v>13963.074180000001</v>
      </c>
      <c r="S13" s="8">
        <f t="shared" si="9"/>
        <v>53.629421009500014</v>
      </c>
      <c r="T13" s="27">
        <f t="shared" si="8"/>
        <v>1109.9600939905001</v>
      </c>
      <c r="U13" s="31"/>
    </row>
    <row r="14" spans="1:21" ht="13.5" customHeight="1">
      <c r="A14" s="2" t="s">
        <v>43</v>
      </c>
      <c r="B14" s="2" t="s">
        <v>30</v>
      </c>
      <c r="C14" s="2"/>
      <c r="D14" s="37">
        <v>1588</v>
      </c>
      <c r="E14" s="18">
        <v>1305</v>
      </c>
      <c r="F14" s="12">
        <v>288.14</v>
      </c>
      <c r="G14" s="14">
        <v>50</v>
      </c>
      <c r="H14" s="6">
        <v>70</v>
      </c>
      <c r="I14" s="6">
        <v>85.01</v>
      </c>
      <c r="J14" s="6">
        <f t="shared" si="0"/>
        <v>39.15</v>
      </c>
      <c r="K14" s="8">
        <f t="shared" si="1"/>
        <v>96.43485999999999</v>
      </c>
      <c r="L14" s="8">
        <f t="shared" si="2"/>
        <v>62.7635</v>
      </c>
      <c r="M14" s="8">
        <f t="shared" si="3"/>
        <v>87.163</v>
      </c>
      <c r="N14" s="8">
        <f t="shared" si="4"/>
        <v>70.1815</v>
      </c>
      <c r="O14" s="8">
        <f t="shared" si="5"/>
        <v>44.577825</v>
      </c>
      <c r="P14" s="8">
        <f t="shared" si="6"/>
        <v>33.160000000000004</v>
      </c>
      <c r="Q14" s="8"/>
      <c r="R14" s="24">
        <f t="shared" si="7"/>
        <v>15634.431779999999</v>
      </c>
      <c r="S14" s="8">
        <f t="shared" si="9"/>
        <v>78.32372954949999</v>
      </c>
      <c r="T14" s="27">
        <f t="shared" si="8"/>
        <v>1224.5455854504999</v>
      </c>
      <c r="U14" s="31"/>
    </row>
    <row r="15" spans="1:21" ht="13.5" customHeight="1">
      <c r="A15" s="2" t="s">
        <v>5</v>
      </c>
      <c r="B15" s="2" t="s">
        <v>30</v>
      </c>
      <c r="C15" s="2">
        <v>1</v>
      </c>
      <c r="D15" s="37">
        <v>1620</v>
      </c>
      <c r="E15" s="18">
        <v>1345</v>
      </c>
      <c r="F15" s="12">
        <v>288.14</v>
      </c>
      <c r="G15" s="14">
        <v>50</v>
      </c>
      <c r="H15" s="6">
        <v>70</v>
      </c>
      <c r="I15" s="6">
        <v>85.01</v>
      </c>
      <c r="J15" s="6">
        <f aca="true" t="shared" si="10" ref="J15:J25">E15*3%</f>
        <v>40.35</v>
      </c>
      <c r="K15" s="8">
        <f aca="true" t="shared" si="11" ref="K15:K25">(E15+140.8)*6.67%</f>
        <v>99.10285999999999</v>
      </c>
      <c r="L15" s="8">
        <f aca="true" t="shared" si="12" ref="L15:L25">(E15+140.8)*4%+(F15+G15+H15+I15)*1%</f>
        <v>64.3635</v>
      </c>
      <c r="M15" s="8">
        <f aca="true" t="shared" si="13" ref="M15:M25">(E15)*3%+(F15+H15+I15)*2%+J15</f>
        <v>89.563</v>
      </c>
      <c r="N15" s="8">
        <f aca="true" t="shared" si="14" ref="N15:N25">(E15)*4%+(E15+F15+G15+H15+I15)*1%</f>
        <v>72.1815</v>
      </c>
      <c r="O15" s="8">
        <f aca="true" t="shared" si="15" ref="O15:O25">(E15+F15+H15+I15)*2.55%</f>
        <v>45.59782499999999</v>
      </c>
      <c r="P15" s="8">
        <f>(D15+H15)*2%</f>
        <v>33.8</v>
      </c>
      <c r="Q15" s="8"/>
      <c r="R15" s="24">
        <f t="shared" si="7"/>
        <v>15908.895779999999</v>
      </c>
      <c r="S15" s="8">
        <f t="shared" si="9"/>
        <v>82.37893514949998</v>
      </c>
      <c r="T15" s="27">
        <f t="shared" si="8"/>
        <v>1243.3623798505</v>
      </c>
      <c r="U15" s="33"/>
    </row>
    <row r="16" spans="1:21" ht="13.5" customHeight="1">
      <c r="A16" s="2" t="s">
        <v>6</v>
      </c>
      <c r="B16" s="2" t="s">
        <v>30</v>
      </c>
      <c r="C16" s="2">
        <v>2</v>
      </c>
      <c r="D16" s="37">
        <v>1652</v>
      </c>
      <c r="E16" s="18">
        <v>1385</v>
      </c>
      <c r="F16" s="12">
        <v>288.14</v>
      </c>
      <c r="G16" s="14">
        <v>50</v>
      </c>
      <c r="H16" s="6">
        <v>70</v>
      </c>
      <c r="I16" s="6">
        <v>85.01</v>
      </c>
      <c r="J16" s="6">
        <f t="shared" si="10"/>
        <v>41.55</v>
      </c>
      <c r="K16" s="8">
        <f t="shared" si="11"/>
        <v>101.77085999999998</v>
      </c>
      <c r="L16" s="8">
        <f t="shared" si="12"/>
        <v>65.9635</v>
      </c>
      <c r="M16" s="8">
        <f t="shared" si="13"/>
        <v>91.963</v>
      </c>
      <c r="N16" s="8">
        <f t="shared" si="14"/>
        <v>74.1815</v>
      </c>
      <c r="O16" s="8">
        <f t="shared" si="15"/>
        <v>46.617824999999996</v>
      </c>
      <c r="P16" s="8">
        <f aca="true" t="shared" si="16" ref="P16:P25">(D16+H16)*2%</f>
        <v>34.44</v>
      </c>
      <c r="Q16" s="8"/>
      <c r="R16" s="24">
        <f t="shared" si="7"/>
        <v>16183.359779999999</v>
      </c>
      <c r="S16" s="8">
        <f>((R16-16000)*25%+1020-((R16-16000)*25%+1020)*1.5%)/12</f>
        <v>87.48769548541664</v>
      </c>
      <c r="T16" s="27">
        <f t="shared" si="8"/>
        <v>1261.1256195145831</v>
      </c>
      <c r="U16" s="33"/>
    </row>
    <row r="17" spans="1:21" ht="13.5" customHeight="1">
      <c r="A17" s="2" t="s">
        <v>7</v>
      </c>
      <c r="B17" s="2" t="s">
        <v>30</v>
      </c>
      <c r="C17" s="2"/>
      <c r="D17" s="37">
        <v>1906</v>
      </c>
      <c r="E17" s="18">
        <v>1425</v>
      </c>
      <c r="F17" s="12">
        <v>288.14</v>
      </c>
      <c r="G17" s="14">
        <v>50</v>
      </c>
      <c r="H17" s="6">
        <v>70</v>
      </c>
      <c r="I17" s="6">
        <v>85.01</v>
      </c>
      <c r="J17" s="6">
        <f t="shared" si="10"/>
        <v>42.75</v>
      </c>
      <c r="K17" s="8">
        <f t="shared" si="11"/>
        <v>104.43885999999999</v>
      </c>
      <c r="L17" s="8">
        <f t="shared" si="12"/>
        <v>67.5635</v>
      </c>
      <c r="M17" s="8">
        <f t="shared" si="13"/>
        <v>94.363</v>
      </c>
      <c r="N17" s="8">
        <f t="shared" si="14"/>
        <v>76.1815</v>
      </c>
      <c r="O17" s="8">
        <f t="shared" si="15"/>
        <v>47.63782499999999</v>
      </c>
      <c r="P17" s="8">
        <f t="shared" si="16"/>
        <v>39.52</v>
      </c>
      <c r="Q17" s="8"/>
      <c r="R17" s="24">
        <f t="shared" si="7"/>
        <v>19068.54378</v>
      </c>
      <c r="S17" s="8">
        <f>((R17-16000)*25%+1020-((R17-16000)*25%+1020)*1.5%)/12</f>
        <v>146.69407548541668</v>
      </c>
      <c r="T17" s="27">
        <f t="shared" si="8"/>
        <v>1442.3512395145833</v>
      </c>
      <c r="U17" s="33"/>
    </row>
    <row r="18" spans="1:21" ht="13.5" customHeight="1">
      <c r="A18" s="2">
        <v>23</v>
      </c>
      <c r="B18" s="2" t="s">
        <v>31</v>
      </c>
      <c r="C18" s="2"/>
      <c r="D18" s="37">
        <v>1906</v>
      </c>
      <c r="E18" s="18">
        <v>1465</v>
      </c>
      <c r="F18" s="12">
        <v>288.14</v>
      </c>
      <c r="G18" s="14">
        <v>50</v>
      </c>
      <c r="H18" s="6">
        <v>70</v>
      </c>
      <c r="I18" s="6">
        <v>85.01</v>
      </c>
      <c r="J18" s="6">
        <f t="shared" si="10"/>
        <v>43.949999999999996</v>
      </c>
      <c r="K18" s="8">
        <f t="shared" si="11"/>
        <v>107.10685999999998</v>
      </c>
      <c r="L18" s="8">
        <f t="shared" si="12"/>
        <v>69.1635</v>
      </c>
      <c r="M18" s="8">
        <f t="shared" si="13"/>
        <v>96.76299999999999</v>
      </c>
      <c r="N18" s="8">
        <f t="shared" si="14"/>
        <v>78.1815</v>
      </c>
      <c r="O18" s="8">
        <f t="shared" si="15"/>
        <v>48.657824999999995</v>
      </c>
      <c r="P18" s="8">
        <f t="shared" si="16"/>
        <v>39.52</v>
      </c>
      <c r="Q18" s="8"/>
      <c r="R18" s="24">
        <f t="shared" si="7"/>
        <v>18966.68778</v>
      </c>
      <c r="S18" s="8">
        <f>((R18-16000)*25%+1020-((R18-16000)*25%+1020)*1.5%)/12</f>
        <v>144.60390548541667</v>
      </c>
      <c r="T18" s="27">
        <f t="shared" si="8"/>
        <v>1435.9534095145834</v>
      </c>
      <c r="U18" s="33"/>
    </row>
    <row r="19" spans="1:21" ht="13.5" customHeight="1">
      <c r="A19" s="2">
        <v>24</v>
      </c>
      <c r="B19" s="2" t="s">
        <v>31</v>
      </c>
      <c r="C19" s="2">
        <v>1</v>
      </c>
      <c r="D19" s="37">
        <v>1944</v>
      </c>
      <c r="E19" s="18">
        <v>1465</v>
      </c>
      <c r="F19" s="12">
        <v>288.14</v>
      </c>
      <c r="G19" s="14">
        <v>50</v>
      </c>
      <c r="H19" s="6">
        <v>70</v>
      </c>
      <c r="I19" s="6">
        <v>85.01</v>
      </c>
      <c r="J19" s="6">
        <f t="shared" si="10"/>
        <v>43.949999999999996</v>
      </c>
      <c r="K19" s="8">
        <f t="shared" si="11"/>
        <v>107.10685999999998</v>
      </c>
      <c r="L19" s="8">
        <f t="shared" si="12"/>
        <v>69.1635</v>
      </c>
      <c r="M19" s="8">
        <f t="shared" si="13"/>
        <v>96.76299999999999</v>
      </c>
      <c r="N19" s="8">
        <f t="shared" si="14"/>
        <v>78.1815</v>
      </c>
      <c r="O19" s="8">
        <f t="shared" si="15"/>
        <v>48.657824999999995</v>
      </c>
      <c r="P19" s="8">
        <f t="shared" si="16"/>
        <v>40.28</v>
      </c>
      <c r="Q19" s="8"/>
      <c r="R19" s="24">
        <f t="shared" si="7"/>
        <v>19413.56778</v>
      </c>
      <c r="S19" s="8">
        <f aca="true" t="shared" si="17" ref="S19:S25">((R19-16000)*25%+1020-((R19-16000)*25%+1020)*1.5%)/12</f>
        <v>153.7742554854167</v>
      </c>
      <c r="T19" s="27">
        <f t="shared" si="8"/>
        <v>1464.0230595145833</v>
      </c>
      <c r="U19" s="33"/>
    </row>
    <row r="20" spans="1:21" ht="13.5" customHeight="1">
      <c r="A20" s="2" t="s">
        <v>35</v>
      </c>
      <c r="B20" s="2" t="s">
        <v>31</v>
      </c>
      <c r="C20" s="2">
        <v>1</v>
      </c>
      <c r="D20" s="37">
        <v>1944</v>
      </c>
      <c r="E20" s="18">
        <v>1506</v>
      </c>
      <c r="F20" s="12">
        <v>288.14</v>
      </c>
      <c r="G20" s="14">
        <v>50</v>
      </c>
      <c r="H20" s="6">
        <v>70</v>
      </c>
      <c r="I20" s="6">
        <v>85.01</v>
      </c>
      <c r="J20" s="6">
        <f t="shared" si="10"/>
        <v>45.18</v>
      </c>
      <c r="K20" s="8">
        <f t="shared" si="11"/>
        <v>109.84155999999999</v>
      </c>
      <c r="L20" s="8">
        <f t="shared" si="12"/>
        <v>70.8035</v>
      </c>
      <c r="M20" s="8">
        <f t="shared" si="13"/>
        <v>99.223</v>
      </c>
      <c r="N20" s="8">
        <f t="shared" si="14"/>
        <v>80.2315</v>
      </c>
      <c r="O20" s="8">
        <f t="shared" si="15"/>
        <v>49.70332499999999</v>
      </c>
      <c r="P20" s="8">
        <f t="shared" si="16"/>
        <v>40.28</v>
      </c>
      <c r="Q20" s="8"/>
      <c r="R20" s="24">
        <f t="shared" si="7"/>
        <v>19309.16538</v>
      </c>
      <c r="S20" s="8">
        <f t="shared" si="17"/>
        <v>151.63183123541663</v>
      </c>
      <c r="T20" s="27">
        <f t="shared" si="8"/>
        <v>1457.465283764583</v>
      </c>
      <c r="U20" s="33"/>
    </row>
    <row r="21" spans="1:21" ht="13.5" customHeight="1">
      <c r="A21" s="2" t="s">
        <v>36</v>
      </c>
      <c r="B21" s="2" t="s">
        <v>31</v>
      </c>
      <c r="C21" s="2">
        <v>2</v>
      </c>
      <c r="D21" s="37">
        <v>1983</v>
      </c>
      <c r="E21" s="18">
        <v>1546</v>
      </c>
      <c r="F21" s="12">
        <v>288.14</v>
      </c>
      <c r="G21" s="14">
        <v>50</v>
      </c>
      <c r="H21" s="6">
        <v>70</v>
      </c>
      <c r="I21" s="6">
        <v>85.01</v>
      </c>
      <c r="J21" s="6">
        <f t="shared" si="10"/>
        <v>46.379999999999995</v>
      </c>
      <c r="K21" s="8">
        <f t="shared" si="11"/>
        <v>112.50956</v>
      </c>
      <c r="L21" s="8">
        <f t="shared" si="12"/>
        <v>72.4035</v>
      </c>
      <c r="M21" s="8">
        <f t="shared" si="13"/>
        <v>101.62299999999999</v>
      </c>
      <c r="N21" s="8">
        <f t="shared" si="14"/>
        <v>82.23150000000001</v>
      </c>
      <c r="O21" s="8">
        <f t="shared" si="15"/>
        <v>50.723324999999996</v>
      </c>
      <c r="P21" s="8">
        <f t="shared" si="16"/>
        <v>41.06</v>
      </c>
      <c r="Q21" s="8"/>
      <c r="R21" s="24">
        <f t="shared" si="7"/>
        <v>19665.949380000002</v>
      </c>
      <c r="S21" s="8">
        <f t="shared" si="17"/>
        <v>158.9533362354167</v>
      </c>
      <c r="T21" s="27">
        <f t="shared" si="8"/>
        <v>1479.8757787645836</v>
      </c>
      <c r="U21" s="33"/>
    </row>
    <row r="22" spans="1:21" ht="13.5" customHeight="1">
      <c r="A22" s="2">
        <v>29</v>
      </c>
      <c r="B22" s="2" t="s">
        <v>31</v>
      </c>
      <c r="C22" s="2">
        <v>2</v>
      </c>
      <c r="D22" s="37">
        <v>1983</v>
      </c>
      <c r="E22" s="18">
        <v>1585</v>
      </c>
      <c r="F22" s="12">
        <v>288.14</v>
      </c>
      <c r="G22" s="14">
        <v>50</v>
      </c>
      <c r="H22" s="6">
        <v>70</v>
      </c>
      <c r="I22" s="6">
        <v>85.01</v>
      </c>
      <c r="J22" s="6">
        <f t="shared" si="10"/>
        <v>47.55</v>
      </c>
      <c r="K22" s="8">
        <f t="shared" si="11"/>
        <v>115.11085999999999</v>
      </c>
      <c r="L22" s="8">
        <f t="shared" si="12"/>
        <v>73.9635</v>
      </c>
      <c r="M22" s="8">
        <f t="shared" si="13"/>
        <v>103.963</v>
      </c>
      <c r="N22" s="8">
        <f t="shared" si="14"/>
        <v>84.1815</v>
      </c>
      <c r="O22" s="8">
        <f t="shared" si="15"/>
        <v>51.71782499999999</v>
      </c>
      <c r="P22" s="8">
        <f t="shared" si="16"/>
        <v>41.06</v>
      </c>
      <c r="Q22" s="8"/>
      <c r="R22" s="24">
        <f t="shared" si="7"/>
        <v>19566.639780000005</v>
      </c>
      <c r="S22" s="8">
        <f t="shared" si="17"/>
        <v>156.91542048541677</v>
      </c>
      <c r="T22" s="27">
        <f t="shared" si="8"/>
        <v>1473.6378945145836</v>
      </c>
      <c r="U22" s="33"/>
    </row>
    <row r="23" spans="1:21" ht="13.5" customHeight="1">
      <c r="A23" s="2">
        <v>30</v>
      </c>
      <c r="B23" s="2" t="s">
        <v>31</v>
      </c>
      <c r="C23" s="2">
        <v>3</v>
      </c>
      <c r="D23" s="37">
        <v>2022</v>
      </c>
      <c r="E23" s="18">
        <v>1585</v>
      </c>
      <c r="F23" s="12">
        <v>288.14</v>
      </c>
      <c r="G23" s="14">
        <v>50</v>
      </c>
      <c r="H23" s="6">
        <v>70</v>
      </c>
      <c r="I23" s="6">
        <v>85.01</v>
      </c>
      <c r="J23" s="6">
        <f t="shared" si="10"/>
        <v>47.55</v>
      </c>
      <c r="K23" s="8">
        <f t="shared" si="11"/>
        <v>115.11085999999999</v>
      </c>
      <c r="L23" s="8">
        <f t="shared" si="12"/>
        <v>73.9635</v>
      </c>
      <c r="M23" s="8">
        <f t="shared" si="13"/>
        <v>103.963</v>
      </c>
      <c r="N23" s="8">
        <f t="shared" si="14"/>
        <v>84.1815</v>
      </c>
      <c r="O23" s="8">
        <f t="shared" si="15"/>
        <v>51.71782499999999</v>
      </c>
      <c r="P23" s="8">
        <f t="shared" si="16"/>
        <v>41.84</v>
      </c>
      <c r="Q23" s="8"/>
      <c r="R23" s="24">
        <f t="shared" si="7"/>
        <v>20025.279780000004</v>
      </c>
      <c r="S23" s="8">
        <f t="shared" si="17"/>
        <v>166.32709548541675</v>
      </c>
      <c r="T23" s="27">
        <f t="shared" si="8"/>
        <v>1502.4462195145836</v>
      </c>
      <c r="U23" s="33"/>
    </row>
    <row r="24" spans="1:21" ht="13.5" customHeight="1">
      <c r="A24" s="2" t="s">
        <v>37</v>
      </c>
      <c r="B24" s="2" t="s">
        <v>31</v>
      </c>
      <c r="C24" s="2">
        <v>3</v>
      </c>
      <c r="D24" s="37">
        <v>2022</v>
      </c>
      <c r="E24" s="18">
        <v>1626</v>
      </c>
      <c r="F24" s="12">
        <v>288.14</v>
      </c>
      <c r="G24" s="14">
        <v>50</v>
      </c>
      <c r="H24" s="6">
        <v>70</v>
      </c>
      <c r="I24" s="6">
        <v>85.01</v>
      </c>
      <c r="J24" s="26">
        <f t="shared" si="10"/>
        <v>48.78</v>
      </c>
      <c r="K24" s="8">
        <f t="shared" si="11"/>
        <v>117.84555999999999</v>
      </c>
      <c r="L24" s="8">
        <f t="shared" si="12"/>
        <v>75.6035</v>
      </c>
      <c r="M24" s="8">
        <f t="shared" si="13"/>
        <v>106.423</v>
      </c>
      <c r="N24" s="8">
        <f t="shared" si="14"/>
        <v>86.23150000000001</v>
      </c>
      <c r="O24" s="8">
        <f t="shared" si="15"/>
        <v>52.763325</v>
      </c>
      <c r="P24" s="8">
        <f t="shared" si="16"/>
        <v>41.84</v>
      </c>
      <c r="Q24" s="8"/>
      <c r="R24" s="24">
        <f t="shared" si="7"/>
        <v>19920.877380000005</v>
      </c>
      <c r="S24" s="8">
        <f t="shared" si="17"/>
        <v>164.18467123541677</v>
      </c>
      <c r="T24" s="27">
        <f t="shared" si="8"/>
        <v>1495.8884437645836</v>
      </c>
      <c r="U24" s="33"/>
    </row>
    <row r="25" spans="1:21" ht="13.5" customHeight="1">
      <c r="A25" s="2" t="s">
        <v>38</v>
      </c>
      <c r="B25" s="2" t="s">
        <v>31</v>
      </c>
      <c r="C25" s="2">
        <v>4</v>
      </c>
      <c r="D25" s="37">
        <v>2062</v>
      </c>
      <c r="E25" s="18">
        <v>1666</v>
      </c>
      <c r="F25" s="12">
        <v>288.14</v>
      </c>
      <c r="G25" s="14">
        <v>50</v>
      </c>
      <c r="H25" s="6">
        <v>70</v>
      </c>
      <c r="I25" s="6">
        <v>85.01</v>
      </c>
      <c r="J25" s="26">
        <f t="shared" si="10"/>
        <v>49.98</v>
      </c>
      <c r="K25" s="8">
        <f t="shared" si="11"/>
        <v>120.51355999999998</v>
      </c>
      <c r="L25" s="8">
        <f t="shared" si="12"/>
        <v>77.2035</v>
      </c>
      <c r="M25" s="8">
        <f t="shared" si="13"/>
        <v>108.823</v>
      </c>
      <c r="N25" s="8">
        <f t="shared" si="14"/>
        <v>88.2315</v>
      </c>
      <c r="O25" s="8">
        <f t="shared" si="15"/>
        <v>53.783325</v>
      </c>
      <c r="P25" s="8">
        <f t="shared" si="16"/>
        <v>42.64</v>
      </c>
      <c r="Q25" s="8"/>
      <c r="R25" s="24">
        <f t="shared" si="7"/>
        <v>20289.421379999996</v>
      </c>
      <c r="S25" s="8">
        <f t="shared" si="17"/>
        <v>171.7475012354166</v>
      </c>
      <c r="T25" s="27">
        <f t="shared" si="8"/>
        <v>1519.037613764583</v>
      </c>
      <c r="U25" s="33"/>
    </row>
    <row r="26" spans="1:20" ht="12.75">
      <c r="A26" s="60" t="s">
        <v>60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</row>
    <row r="27" spans="1:20" ht="12.75">
      <c r="A27" s="59" t="s">
        <v>70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</row>
    <row r="28" spans="1:20" ht="12.75">
      <c r="A28" s="56" t="s">
        <v>56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</row>
    <row r="29" spans="1:20" ht="12.75">
      <c r="A29" s="56" t="s">
        <v>57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</row>
    <row r="30" spans="1:20" ht="12.75">
      <c r="A30" s="56" t="s">
        <v>58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</row>
    <row r="31" spans="1:20" ht="12.75">
      <c r="A31" s="56" t="s">
        <v>59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</row>
    <row r="32" spans="1:20" ht="12.75">
      <c r="A32" s="61" t="s">
        <v>61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</row>
    <row r="33" spans="1:20" ht="12.75">
      <c r="A33" s="61" t="s">
        <v>62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20" ht="12.75">
      <c r="A34" s="61" t="s">
        <v>63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</row>
    <row r="35" spans="1:20" ht="12.75">
      <c r="A35" s="61" t="s">
        <v>72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</row>
    <row r="36" spans="1:20" ht="12.75">
      <c r="A36" s="1"/>
      <c r="B36" s="1"/>
      <c r="C36" s="1"/>
      <c r="D36" s="1"/>
      <c r="E36" s="19"/>
      <c r="F36" s="9"/>
      <c r="G36" s="15"/>
      <c r="H36" s="9"/>
      <c r="I36" s="9"/>
      <c r="J36" s="9"/>
      <c r="K36" s="7"/>
      <c r="L36" s="7"/>
      <c r="M36" s="7"/>
      <c r="N36" s="7"/>
      <c r="O36" s="7"/>
      <c r="P36" s="63" t="s">
        <v>51</v>
      </c>
      <c r="Q36" s="63"/>
      <c r="R36" s="63"/>
      <c r="S36" s="63"/>
      <c r="T36" s="63"/>
    </row>
    <row r="37" spans="16:20" ht="12.75">
      <c r="P37" s="47" t="s">
        <v>73</v>
      </c>
      <c r="Q37" s="47"/>
      <c r="R37" s="47"/>
      <c r="S37" s="47"/>
      <c r="T37" s="47"/>
    </row>
  </sheetData>
  <sheetProtection/>
  <mergeCells count="15">
    <mergeCell ref="P36:T36"/>
    <mergeCell ref="P37:T37"/>
    <mergeCell ref="A30:T30"/>
    <mergeCell ref="A31:T31"/>
    <mergeCell ref="A32:T32"/>
    <mergeCell ref="A33:T33"/>
    <mergeCell ref="A34:T34"/>
    <mergeCell ref="A35:T35"/>
    <mergeCell ref="A29:T29"/>
    <mergeCell ref="A28:T28"/>
    <mergeCell ref="A27:T27"/>
    <mergeCell ref="A2:T2"/>
    <mergeCell ref="A3:T3"/>
    <mergeCell ref="K4:S4"/>
    <mergeCell ref="A26:T26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Γιάννης</dc:creator>
  <cp:keywords/>
  <dc:description/>
  <cp:lastModifiedBy>gg</cp:lastModifiedBy>
  <cp:lastPrinted>2011-10-30T07:46:47Z</cp:lastPrinted>
  <dcterms:created xsi:type="dcterms:W3CDTF">2006-03-15T05:55:18Z</dcterms:created>
  <dcterms:modified xsi:type="dcterms:W3CDTF">2011-10-30T18:31:40Z</dcterms:modified>
  <cp:category/>
  <cp:version/>
  <cp:contentType/>
  <cp:contentStatus/>
</cp:coreProperties>
</file>